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a Trajecten" sheetId="1" state="visible" r:id="rId2"/>
    <sheet name="Uitwerking Trajecten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<sst xmlns="http://schemas.openxmlformats.org/spreadsheetml/2006/main" count="400" uniqueCount="140">
  <si>
    <t xml:space="preserve">gem. Dep. op NL-hexagonen</t>
  </si>
  <si>
    <t xml:space="preserve">AERIUS berekening (versie 2020)</t>
  </si>
  <si>
    <t xml:space="preserve">OPS berekeningen</t>
  </si>
  <si>
    <t xml:space="preserve">A2 Budel: volledig traject 130</t>
  </si>
  <si>
    <t xml:space="preserve">gem ^dep </t>
  </si>
  <si>
    <t xml:space="preserve">verschil</t>
  </si>
  <si>
    <t xml:space="preserve">[mol/ha/jr]</t>
  </si>
  <si>
    <t xml:space="preserve">dep NH3</t>
  </si>
  <si>
    <t xml:space="preserve">dep NOx</t>
  </si>
  <si>
    <t xml:space="preserve">dep Totaal</t>
  </si>
  <si>
    <t xml:space="preserve">ref</t>
  </si>
  <si>
    <t xml:space="preserve">plan</t>
  </si>
  <si>
    <t xml:space="preserve">SRM2</t>
  </si>
  <si>
    <t xml:space="preserve">SRM2/OPS</t>
  </si>
  <si>
    <t xml:space="preserve">OPS</t>
  </si>
  <si>
    <t xml:space="preserve">OPS day/nigth</t>
  </si>
  <si>
    <t xml:space="preserve">Reg &amp;  DagNgt</t>
  </si>
  <si>
    <t xml:space="preserve">A2 Budel</t>
  </si>
  <si>
    <t xml:space="preserve">REF 120</t>
  </si>
  <si>
    <t xml:space="preserve">120 kmh</t>
  </si>
  <si>
    <t xml:space="preserve">100/120 kmh</t>
  </si>
  <si>
    <t xml:space="preserve">extra SSRS ruimte</t>
  </si>
  <si>
    <t xml:space="preserve">OPS road</t>
  </si>
  <si>
    <t xml:space="preserve">100/130A kmh</t>
  </si>
  <si>
    <t xml:space="preserve">totaal effect snelheidsverhoging</t>
  </si>
  <si>
    <t xml:space="preserve">130A kmh</t>
  </si>
  <si>
    <t xml:space="preserve">120 km/u in de nacht</t>
  </si>
  <si>
    <t xml:space="preserve">OPS All</t>
  </si>
  <si>
    <t xml:space="preserve">Referentie kader</t>
  </si>
  <si>
    <t xml:space="preserve">OPS Day/Night</t>
  </si>
  <si>
    <t xml:space="preserve">extra N-winst bij 120 kmh gedurende nacht</t>
  </si>
  <si>
    <t xml:space="preserve">REF 130A</t>
  </si>
  <si>
    <t xml:space="preserve">te veel in SSRS door 130kmh als uitgangspunt</t>
  </si>
  <si>
    <t xml:space="preserve">Totaal effect door 130kmh als uitgangspunt</t>
  </si>
  <si>
    <t xml:space="preserve">A2 Budel: Gedeeltelijk 120 op wegversmalling</t>
  </si>
  <si>
    <t xml:space="preserve">REF 130P</t>
  </si>
  <si>
    <t xml:space="preserve">100/130P kmh</t>
  </si>
  <si>
    <t xml:space="preserve">Org effect snelheidsverlaging</t>
  </si>
  <si>
    <t xml:space="preserve">gekozen SSRS</t>
  </si>
  <si>
    <t xml:space="preserve">gewijzigd uitgangspunt</t>
  </si>
  <si>
    <t xml:space="preserve">130P kmh</t>
  </si>
  <si>
    <t xml:space="preserve">effect snelheidsverlaging </t>
  </si>
  <si>
    <t xml:space="preserve">PLAN 120</t>
  </si>
  <si>
    <t xml:space="preserve">juiste SSRS</t>
  </si>
  <si>
    <t xml:space="preserve">a) werkelijk effect N-winst gedurende de nacht</t>
  </si>
  <si>
    <t xml:space="preserve">b) te veel in SSRS door 130kmu als uitgangspunt</t>
  </si>
  <si>
    <t xml:space="preserve">totaal effect (a + b samen)</t>
  </si>
  <si>
    <t xml:space="preserve">totaal effect snelheidsverhoging uitgaande van huidig SSRS:</t>
  </si>
  <si>
    <t xml:space="preserve">PLAN 130A</t>
  </si>
  <si>
    <t xml:space="preserve">extra N-winst bij 120 kmh gedurende nacht (gew. ref)</t>
  </si>
  <si>
    <t xml:space="preserve">te veel in SSRS door 130kmh als uitgangspunt (gew. ref)</t>
  </si>
  <si>
    <t xml:space="preserve">Totaal effect door 130kmh als uitgangspunt (gew. ref)</t>
  </si>
  <si>
    <t xml:space="preserve">geschaald naar referentie huidig SSRS</t>
  </si>
  <si>
    <t xml:space="preserve">te weinig berekend in het huidige SSRS</t>
  </si>
  <si>
    <t xml:space="preserve">PLAN 130P</t>
  </si>
  <si>
    <t xml:space="preserve">Totaaleffect: Optelsom schaling en te weinig berekend</t>
  </si>
  <si>
    <t xml:space="preserve">A7 Tijnje</t>
  </si>
  <si>
    <t xml:space="preserve">120/130 kmh</t>
  </si>
  <si>
    <t xml:space="preserve">100/130 kmh</t>
  </si>
  <si>
    <t xml:space="preserve">totaal effect handhaving</t>
  </si>
  <si>
    <t xml:space="preserve">A7 Tijnje (OPS 5.0.1.0)</t>
  </si>
  <si>
    <t xml:space="preserve">A15 Valburg (OPS 5.0.1.0)</t>
  </si>
  <si>
    <t xml:space="preserve">130 kmh</t>
  </si>
  <si>
    <t xml:space="preserve">REF 120/130</t>
  </si>
  <si>
    <t xml:space="preserve">Totaal effect van niet handhaven</t>
  </si>
  <si>
    <t xml:space="preserve">A15 Valburg</t>
  </si>
  <si>
    <t xml:space="preserve">OPS StandAlone</t>
  </si>
  <si>
    <t xml:space="preserve">REF 130</t>
  </si>
  <si>
    <t xml:space="preserve">A28 Uithof</t>
  </si>
  <si>
    <t xml:space="preserve">geen SRM2</t>
  </si>
  <si>
    <t xml:space="preserve">OPS (road)</t>
  </si>
  <si>
    <t xml:space="preserve">PLAN 130</t>
  </si>
  <si>
    <t xml:space="preserve">A12 Gouwe</t>
  </si>
  <si>
    <t xml:space="preserve">A15 Gouwe (OPS 5.0.1.0)</t>
  </si>
  <si>
    <t xml:space="preserve">A28 Uithof (OPS 5.0.1.0)</t>
  </si>
  <si>
    <t xml:space="preserve">OPS Road</t>
  </si>
  <si>
    <t xml:space="preserve">extra N-winst bij handhaven 120 kmh</t>
  </si>
  <si>
    <t xml:space="preserve">te veel in SSRS door 130km niet legaal is</t>
  </si>
  <si>
    <t xml:space="preserve">OPS Road </t>
  </si>
  <si>
    <t xml:space="preserve">Tijdsvak</t>
  </si>
  <si>
    <t xml:space="preserve">split</t>
  </si>
  <si>
    <t xml:space="preserve">ID</t>
  </si>
  <si>
    <t xml:space="preserve">totaal</t>
  </si>
  <si>
    <t xml:space="preserve">overdag</t>
  </si>
  <si>
    <t xml:space="preserve">nacht</t>
  </si>
  <si>
    <t xml:space="preserve">Continuous emission</t>
  </si>
  <si>
    <t xml:space="preserve">Average industrial activity</t>
  </si>
  <si>
    <t xml:space="preserve">Average heating behaviour</t>
  </si>
  <si>
    <t xml:space="preserve">Average traffic intensity</t>
  </si>
  <si>
    <t xml:space="preserve">Light duty vehicles</t>
  </si>
  <si>
    <t xml:space="preserve">Heavy duty vehicles</t>
  </si>
  <si>
    <t xml:space="preserve">Buses (public transport)</t>
  </si>
  <si>
    <t xml:space="preserve">Average heating behaviour (without seasonal correction)</t>
  </si>
  <si>
    <t xml:space="preserve">DAY PERIOD</t>
  </si>
  <si>
    <t xml:space="preserve">NIGHT PERIOD</t>
  </si>
  <si>
    <t xml:space="preserve">ha NL</t>
  </si>
  <si>
    <t xml:space="preserve">molgewicht in kg/mol</t>
  </si>
  <si>
    <t xml:space="preserve">EmissieOverzicht (ton/yr)</t>
  </si>
  <si>
    <t xml:space="preserve">ORG</t>
  </si>
  <si>
    <t xml:space="preserve">Day</t>
  </si>
  <si>
    <t xml:space="preserve">Ngt</t>
  </si>
  <si>
    <t xml:space="preserve">Zvt</t>
  </si>
  <si>
    <t xml:space="preserve">Lvt</t>
  </si>
  <si>
    <t xml:space="preserve">Tot</t>
  </si>
  <si>
    <t xml:space="preserve">gem. Dep in Natura 2000</t>
  </si>
  <si>
    <t xml:space="preserve">NOx</t>
  </si>
  <si>
    <t xml:space="preserve">NH3</t>
  </si>
  <si>
    <t xml:space="preserve">aandeel overdag</t>
  </si>
  <si>
    <t xml:space="preserve">emissieaandeel</t>
  </si>
  <si>
    <t xml:space="preserve">hectometer palen</t>
  </si>
  <si>
    <t xml:space="preserve">lengte</t>
  </si>
  <si>
    <t xml:space="preserve">mol/ha/jr</t>
  </si>
  <si>
    <t xml:space="preserve">frac dep</t>
  </si>
  <si>
    <t xml:space="preserve">A2 Leenderheide-Budel</t>
  </si>
  <si>
    <t xml:space="preserve">REF 130(120)</t>
  </si>
  <si>
    <t xml:space="preserve">VAR 130</t>
  </si>
  <si>
    <t xml:space="preserve">VAR 120</t>
  </si>
  <si>
    <t xml:space="preserve">VAR 130(120)</t>
  </si>
  <si>
    <t xml:space="preserve">A12 Gouwe-Reeuwijk</t>
  </si>
  <si>
    <t xml:space="preserve">A28 Uithof-Maarn</t>
  </si>
  <si>
    <t xml:space="preserve">n.v.t</t>
  </si>
  <si>
    <t xml:space="preserve">VAR</t>
  </si>
  <si>
    <t xml:space="preserve">A7 Trijntje-Drachten</t>
  </si>
  <si>
    <t xml:space="preserve">A15 Meteren – Valburg</t>
  </si>
  <si>
    <t xml:space="preserve">SSRS 2021</t>
  </si>
  <si>
    <t xml:space="preserve">Total Data</t>
  </si>
  <si>
    <t xml:space="preserve">Day Light vehicals</t>
  </si>
  <si>
    <t xml:space="preserve">Night light vehicals</t>
  </si>
  <si>
    <t xml:space="preserve">Freight</t>
  </si>
  <si>
    <t xml:space="preserve">Generieke maatregel (kton/yr)</t>
  </si>
  <si>
    <t xml:space="preserve">REF EF2019</t>
  </si>
  <si>
    <t xml:space="preserve">REF EF2020</t>
  </si>
  <si>
    <t xml:space="preserve">REF EF2021</t>
  </si>
  <si>
    <t xml:space="preserve">VAR EF2019</t>
  </si>
  <si>
    <t xml:space="preserve">VAR EF2020</t>
  </si>
  <si>
    <t xml:space="preserve">VAR EF2021</t>
  </si>
  <si>
    <t xml:space="preserve">Delta EF2019</t>
  </si>
  <si>
    <t xml:space="preserve">Delta EF2020</t>
  </si>
  <si>
    <t xml:space="preserve">Delta EF2021</t>
  </si>
  <si>
    <t xml:space="preserve">SSRS 2030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</si>
</sst>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#,##0.000000000"/>
    <numFmt numFmtId="166" formatCode="0.00%"/>
    <numFmt numFmtId="167" formatCode="#,##0.00000"/>
    <numFmt numFmtId="168" formatCode="0.00000000"/>
    <numFmt numFmtId="169" formatCode="#,##0.000000"/>
    <numFmt numFmtId="170" formatCode="hh:mm:ss\ AM/PM"/>
    <numFmt numFmtId="171" formatCode="#,##0.00"/>
    <numFmt numFmtId="172" formatCode="0.0%"/>
    <numFmt numFmtId="173" formatCode="#,##0.0000000"/>
    <numFmt numFmtId="174" formatCode="&quot;TRUE&quot;;&quot;TRUE&quot;;&quot;FALSE&quot;"/>
    <numFmt numFmtId="175" formatCode="0.00E+00"/>
    <numFmt numFmtId="176" formatCode="#,##0.000"/>
    <numFmt numFmtId="177" formatCode="#,##0.0000"/>
    <numFmt numFmtId="178" formatCode="#,##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77BC65"/>
        <bgColor rgb="FF81D41A"/>
      </patternFill>
    </fill>
    <fill>
      <patternFill patternType="solid">
        <fgColor rgb="FFFFD7D7"/>
        <bgColor rgb="FFFFDBB6"/>
      </patternFill>
    </fill>
    <fill>
      <patternFill patternType="solid">
        <fgColor rgb="FFFFF5CE"/>
        <bgColor rgb="FFFFFFA6"/>
      </patternFill>
    </fill>
    <fill>
      <patternFill patternType="solid">
        <fgColor rgb="FFDDE8CB"/>
        <bgColor rgb="FFDEDCE6"/>
      </patternFill>
    </fill>
    <fill>
      <patternFill patternType="solid">
        <fgColor rgb="FFE8F2A1"/>
        <bgColor rgb="FFFFE994"/>
      </patternFill>
    </fill>
    <fill>
      <patternFill patternType="solid">
        <fgColor rgb="FFAFD095"/>
        <bgColor rgb="FFB4C7DC"/>
      </patternFill>
    </fill>
    <fill>
      <patternFill patternType="solid">
        <fgColor rgb="FFFFE994"/>
        <bgColor rgb="FFE8F2A1"/>
      </patternFill>
    </fill>
    <fill>
      <patternFill patternType="solid">
        <fgColor rgb="FFFFDE59"/>
        <bgColor rgb="FFFFE994"/>
      </patternFill>
    </fill>
    <fill>
      <patternFill patternType="solid">
        <fgColor rgb="FFFFDBB6"/>
        <bgColor rgb="FFFFD7D7"/>
      </patternFill>
    </fill>
    <fill>
      <patternFill patternType="solid">
        <fgColor rgb="FFFFB66C"/>
        <bgColor rgb="FFFF972F"/>
      </patternFill>
    </fill>
    <fill>
      <patternFill patternType="solid">
        <fgColor rgb="FFFF972F"/>
        <bgColor rgb="FFFFB66C"/>
      </patternFill>
    </fill>
    <fill>
      <patternFill patternType="solid">
        <fgColor rgb="FFE0C2CD"/>
        <bgColor rgb="FFDEDCE6"/>
      </patternFill>
    </fill>
    <fill>
      <patternFill patternType="solid">
        <fgColor rgb="FFB4C7DC"/>
        <bgColor rgb="FFAFD095"/>
      </patternFill>
    </fill>
    <fill>
      <patternFill patternType="solid">
        <fgColor rgb="FFDEDCE6"/>
        <bgColor rgb="FFDDE8CB"/>
      </patternFill>
    </fill>
    <fill>
      <patternFill patternType="solid">
        <fgColor rgb="FFFFFFA6"/>
        <bgColor rgb="FFFFF5CE"/>
      </patternFill>
    </fill>
    <fill>
      <patternFill patternType="solid">
        <fgColor rgb="FFBBE33D"/>
        <bgColor rgb="FFD4EA6B"/>
      </patternFill>
    </fill>
    <fill>
      <patternFill patternType="solid">
        <fgColor rgb="FF00A933"/>
        <bgColor rgb="FF008000"/>
      </patternFill>
    </fill>
    <fill>
      <patternFill patternType="solid">
        <fgColor rgb="FFD4EA6B"/>
        <bgColor rgb="FFBBE33D"/>
      </patternFill>
    </fill>
    <fill>
      <patternFill patternType="solid">
        <fgColor rgb="FF81D41A"/>
        <bgColor rgb="FF77BC65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1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1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1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1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1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1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19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19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18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18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1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2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2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18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7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1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19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2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19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21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7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21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2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6" fillId="19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6" fillId="1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6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21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21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21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D7D7"/>
      <rgbColor rgb="FFFF0000"/>
      <rgbColor rgb="FF00FF00"/>
      <rgbColor rgb="FF0000FF"/>
      <rgbColor rgb="FFD4EA6B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5CE"/>
      <rgbColor rgb="FFE8F2A1"/>
      <rgbColor rgb="FF660066"/>
      <rgbColor rgb="FFFFB66C"/>
      <rgbColor rgb="FF0066CC"/>
      <rgbColor rgb="FFDEDCE6"/>
      <rgbColor rgb="FF000080"/>
      <rgbColor rgb="FFFF00FF"/>
      <rgbColor rgb="FFBBE33D"/>
      <rgbColor rgb="FF00FFFF"/>
      <rgbColor rgb="FF800080"/>
      <rgbColor rgb="FF800000"/>
      <rgbColor rgb="FF008080"/>
      <rgbColor rgb="FF0000FF"/>
      <rgbColor rgb="FF00CCFF"/>
      <rgbColor rgb="FFFFE994"/>
      <rgbColor rgb="FFDDE8CB"/>
      <rgbColor rgb="FFFFFFA6"/>
      <rgbColor rgb="FFAFD095"/>
      <rgbColor rgb="FFE0C2CD"/>
      <rgbColor rgb="FFCC99FF"/>
      <rgbColor rgb="FFFFDBB6"/>
      <rgbColor rgb="FF3366FF"/>
      <rgbColor rgb="FF33CCCC"/>
      <rgbColor rgb="FF81D41A"/>
      <rgbColor rgb="FFFFDE59"/>
      <rgbColor rgb="FFFF972F"/>
      <rgbColor rgb="FFFF6600"/>
      <rgbColor rgb="FF666699"/>
      <rgbColor rgb="FF77BC65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210240</xdr:colOff>
      <xdr:row>99</xdr:row>
      <xdr:rowOff>46080</xdr:rowOff>
    </xdr:from>
    <xdr:to>
      <xdr:col>2</xdr:col>
      <xdr:colOff>570240</xdr:colOff>
      <xdr:row>101</xdr:row>
      <xdr:rowOff>81000</xdr:rowOff>
    </xdr:to>
    <xdr:sp>
      <xdr:nvSpPr>
        <xdr:cNvPr id="0" name="Line 1"/>
        <xdr:cNvSpPr/>
      </xdr:nvSpPr>
      <xdr:spPr>
        <a:xfrm flipV="1">
          <a:off x="1770840" y="16139520"/>
          <a:ext cx="360000" cy="360000"/>
        </a:xfrm>
        <a:prstGeom prst="line">
          <a:avLst/>
        </a:prstGeom>
        <a:ln w="0">
          <a:solidFill>
            <a:srgbClr val="0000ff"/>
          </a:solidFill>
          <a:headEnd len="med" type="triangle" w="med"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129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B1" activeCellId="0" sqref="B1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4.1"/>
    <col collapsed="false" customWidth="true" hidden="false" outlineLevel="0" max="2" min="2" style="0" width="18.02"/>
    <col collapsed="false" customWidth="true" hidden="false" outlineLevel="0" max="3" min="3" style="0" width="11.94"/>
    <col collapsed="false" customWidth="true" hidden="false" outlineLevel="0" max="4" min="4" style="0" width="15.15"/>
    <col collapsed="false" customWidth="true" hidden="false" outlineLevel="0" max="11" min="5" style="0" width="11.94"/>
    <col collapsed="false" customWidth="true" hidden="false" outlineLevel="0" max="20" min="12" style="0" width="13.78"/>
    <col collapsed="false" customWidth="true" hidden="false" outlineLevel="0" max="55" min="21" style="0" width="11.94"/>
  </cols>
  <sheetData>
    <row r="2" customFormat="false" ht="12.8" hidden="false" customHeight="false" outlineLevel="0" collapsed="false">
      <c r="G2" s="1"/>
      <c r="H2" s="1"/>
      <c r="I2" s="1"/>
      <c r="J2" s="2"/>
    </row>
    <row r="3" customFormat="false" ht="12.8" hidden="false" customHeight="false" outlineLevel="0" collapsed="false">
      <c r="B3" s="3" t="s">
        <v>0</v>
      </c>
      <c r="C3" s="3"/>
      <c r="D3" s="3"/>
      <c r="E3" s="4" t="s">
        <v>1</v>
      </c>
      <c r="F3" s="3"/>
      <c r="G3" s="3"/>
      <c r="H3" s="4" t="s">
        <v>2</v>
      </c>
      <c r="I3" s="3"/>
      <c r="J3" s="3"/>
      <c r="L3" s="5" t="s">
        <v>3</v>
      </c>
      <c r="M3" s="6"/>
      <c r="N3" s="6"/>
      <c r="O3" s="6"/>
      <c r="P3" s="7" t="s">
        <v>4</v>
      </c>
      <c r="Q3" s="7" t="s">
        <v>4</v>
      </c>
      <c r="R3" s="7" t="s">
        <v>4</v>
      </c>
      <c r="S3" s="7" t="s">
        <v>4</v>
      </c>
      <c r="T3" s="6" t="s">
        <v>5</v>
      </c>
    </row>
    <row r="4" customFormat="false" ht="12.8" hidden="false" customHeight="false" outlineLevel="0" collapsed="false">
      <c r="B4" s="8"/>
      <c r="C4" s="3" t="s">
        <v>6</v>
      </c>
      <c r="D4" s="3"/>
      <c r="E4" s="3" t="s">
        <v>7</v>
      </c>
      <c r="F4" s="3" t="s">
        <v>8</v>
      </c>
      <c r="G4" s="3" t="s">
        <v>9</v>
      </c>
      <c r="H4" s="3" t="s">
        <v>7</v>
      </c>
      <c r="I4" s="3" t="s">
        <v>8</v>
      </c>
      <c r="J4" s="3" t="s">
        <v>9</v>
      </c>
      <c r="L4" s="7" t="s">
        <v>10</v>
      </c>
      <c r="M4" s="7" t="s">
        <v>11</v>
      </c>
      <c r="N4" s="6"/>
      <c r="O4" s="6"/>
      <c r="P4" s="7" t="s">
        <v>12</v>
      </c>
      <c r="Q4" s="7" t="s">
        <v>13</v>
      </c>
      <c r="R4" s="7" t="s">
        <v>14</v>
      </c>
      <c r="S4" s="7" t="s">
        <v>15</v>
      </c>
      <c r="T4" s="6" t="s">
        <v>16</v>
      </c>
    </row>
    <row r="5" customFormat="false" ht="12.8" hidden="false" customHeight="false" outlineLevel="0" collapsed="false">
      <c r="B5" s="9" t="s">
        <v>17</v>
      </c>
      <c r="C5" s="10" t="s">
        <v>18</v>
      </c>
      <c r="D5" s="10" t="s">
        <v>12</v>
      </c>
      <c r="E5" s="11" t="n">
        <v>0.11840049920479</v>
      </c>
      <c r="F5" s="11" t="n">
        <v>0.0917155826245901</v>
      </c>
      <c r="G5" s="11" t="n">
        <v>0.21011608182938</v>
      </c>
      <c r="H5" s="12"/>
      <c r="I5" s="12"/>
      <c r="J5" s="11"/>
      <c r="K5" s="13"/>
      <c r="L5" s="14" t="s">
        <v>19</v>
      </c>
      <c r="M5" s="14" t="s">
        <v>20</v>
      </c>
      <c r="N5" s="15" t="s">
        <v>21</v>
      </c>
      <c r="O5" s="16"/>
      <c r="P5" s="15" t="n">
        <f aca="false">G5-G20</f>
        <v>0.00985199738553852</v>
      </c>
      <c r="Q5" s="15" t="n">
        <f aca="false">G7-G22</f>
        <v>0.0237983187911149</v>
      </c>
      <c r="R5" s="15" t="n">
        <f aca="false">G8-G23</f>
        <v>0.0304754452886451</v>
      </c>
      <c r="S5" s="15" t="n">
        <f aca="false">J9-J24</f>
        <v>0.0252855151575739</v>
      </c>
      <c r="T5" s="17" t="n">
        <f aca="false">1-S5/R5</f>
        <v>0.170298746479839</v>
      </c>
      <c r="U5" s="2"/>
    </row>
    <row r="6" customFormat="false" ht="12.8" hidden="false" customHeight="false" outlineLevel="0" collapsed="false">
      <c r="B6" s="9"/>
      <c r="C6" s="10" t="s">
        <v>18</v>
      </c>
      <c r="D6" s="10" t="s">
        <v>22</v>
      </c>
      <c r="E6" s="11" t="n">
        <v>0.0840900280963371</v>
      </c>
      <c r="F6" s="11" t="n">
        <v>0.181667733910646</v>
      </c>
      <c r="G6" s="11" t="n">
        <v>0.265757762006983</v>
      </c>
      <c r="H6" s="12"/>
      <c r="I6" s="12"/>
      <c r="J6" s="11"/>
      <c r="K6" s="13"/>
      <c r="L6" s="14" t="s">
        <v>19</v>
      </c>
      <c r="M6" s="14" t="s">
        <v>23</v>
      </c>
      <c r="N6" s="15" t="s">
        <v>24</v>
      </c>
      <c r="O6" s="16"/>
      <c r="P6" s="15" t="n">
        <f aca="false">G5-G25</f>
        <v>0.00908558526683331</v>
      </c>
      <c r="Q6" s="15" t="n">
        <f aca="false">G7-G27</f>
        <v>0.0217391863378037</v>
      </c>
      <c r="R6" s="15" t="n">
        <f aca="false">G8-G28</f>
        <v>0.027882698145781</v>
      </c>
      <c r="S6" s="15" t="n">
        <f aca="false">J9-J29</f>
        <v>0.021791387729057</v>
      </c>
      <c r="T6" s="18" t="n">
        <f aca="false">1-S6/R6</f>
        <v>0.218462014862279</v>
      </c>
      <c r="U6" s="2"/>
      <c r="V6" s="2"/>
    </row>
    <row r="7" customFormat="false" ht="12.8" hidden="false" customHeight="false" outlineLevel="0" collapsed="false">
      <c r="B7" s="9"/>
      <c r="C7" s="10" t="s">
        <v>18</v>
      </c>
      <c r="D7" s="10" t="s">
        <v>13</v>
      </c>
      <c r="E7" s="11" t="n">
        <v>0.202490527301127</v>
      </c>
      <c r="F7" s="11" t="n">
        <v>0.273383316535236</v>
      </c>
      <c r="G7" s="11" t="n">
        <v>0.475873843836363</v>
      </c>
      <c r="H7" s="12"/>
      <c r="I7" s="12"/>
      <c r="J7" s="11"/>
      <c r="K7" s="13"/>
      <c r="L7" s="14" t="s">
        <v>25</v>
      </c>
      <c r="M7" s="14" t="s">
        <v>20</v>
      </c>
      <c r="N7" s="15" t="s">
        <v>26</v>
      </c>
      <c r="O7" s="16"/>
      <c r="P7" s="15" t="n">
        <f aca="false">G10-G20</f>
        <v>0.0136903419971039</v>
      </c>
      <c r="Q7" s="15" t="n">
        <f aca="false">G12-G22</f>
        <v>0.0340677461291352</v>
      </c>
      <c r="R7" s="15" t="n">
        <f aca="false">G13-G23</f>
        <v>0.043490655119492</v>
      </c>
      <c r="S7" s="15" t="n">
        <f aca="false">J14-J24</f>
        <v>0.0383155184919229</v>
      </c>
      <c r="T7" s="17" t="n">
        <f aca="false">1-S7/R7</f>
        <v>0.11899422101944</v>
      </c>
      <c r="U7" s="2"/>
      <c r="V7" s="2"/>
      <c r="W7" s="2"/>
    </row>
    <row r="8" customFormat="false" ht="12.8" hidden="false" customHeight="false" outlineLevel="0" collapsed="false">
      <c r="B8" s="9"/>
      <c r="C8" s="10" t="s">
        <v>18</v>
      </c>
      <c r="D8" s="10" t="s">
        <v>27</v>
      </c>
      <c r="E8" s="11" t="n">
        <v>0.222179462305582</v>
      </c>
      <c r="F8" s="11" t="n">
        <v>0.367420636372633</v>
      </c>
      <c r="G8" s="11" t="n">
        <v>0.589600098678215</v>
      </c>
      <c r="H8" s="11" t="n">
        <v>0.219812377333708</v>
      </c>
      <c r="I8" s="11" t="n">
        <v>0.368630075074007</v>
      </c>
      <c r="J8" s="11" t="n">
        <v>0.588442452407715</v>
      </c>
      <c r="K8" s="13"/>
      <c r="L8" s="14" t="s">
        <v>25</v>
      </c>
      <c r="M8" s="14" t="s">
        <v>23</v>
      </c>
      <c r="N8" s="15" t="s">
        <v>28</v>
      </c>
      <c r="O8" s="16"/>
      <c r="P8" s="15" t="n">
        <f aca="false">G10-G25</f>
        <v>0.0129239298783987</v>
      </c>
      <c r="Q8" s="15" t="n">
        <f aca="false">G12-G27</f>
        <v>0.0320086136758239</v>
      </c>
      <c r="R8" s="15" t="n">
        <f aca="false">G13-G28</f>
        <v>0.040897907976628</v>
      </c>
      <c r="S8" s="15" t="n">
        <f aca="false">J14-J29</f>
        <v>0.034821391063406</v>
      </c>
      <c r="T8" s="17" t="n">
        <f aca="false">1-S8/R8</f>
        <v>0.148577695384677</v>
      </c>
      <c r="U8" s="2"/>
      <c r="V8" s="2"/>
      <c r="W8" s="2"/>
    </row>
    <row r="9" customFormat="false" ht="12.8" hidden="false" customHeight="false" outlineLevel="0" collapsed="false">
      <c r="B9" s="9"/>
      <c r="C9" s="10" t="s">
        <v>18</v>
      </c>
      <c r="D9" s="10" t="s">
        <v>29</v>
      </c>
      <c r="E9" s="11" t="n">
        <v>0.219812377333708</v>
      </c>
      <c r="F9" s="11" t="n">
        <v>0.368630075074007</v>
      </c>
      <c r="G9" s="11" t="n">
        <v>0.588442452407715</v>
      </c>
      <c r="H9" s="19" t="n">
        <v>0.222452059428058</v>
      </c>
      <c r="I9" s="19" t="n">
        <v>0.367572791166725</v>
      </c>
      <c r="J9" s="11" t="n">
        <v>0.590024850594783</v>
      </c>
      <c r="K9" s="13"/>
      <c r="L9" s="20" t="s">
        <v>30</v>
      </c>
      <c r="M9" s="20"/>
      <c r="N9" s="20"/>
      <c r="O9" s="20"/>
      <c r="P9" s="21" t="n">
        <f aca="false">P7/P8-1</f>
        <v>0.0593017855958971</v>
      </c>
      <c r="Q9" s="21" t="n">
        <f aca="false">Q7/Q8-1</f>
        <v>0.0643305728316033</v>
      </c>
      <c r="R9" s="21" t="n">
        <f aca="false">R7/R8-1</f>
        <v>0.0633955933478492</v>
      </c>
      <c r="S9" s="21" t="n">
        <f aca="false">S7/S8-1</f>
        <v>0.100344280392318</v>
      </c>
      <c r="T9" s="20"/>
      <c r="U9" s="2"/>
      <c r="V9" s="2"/>
      <c r="W9" s="2"/>
    </row>
    <row r="10" customFormat="false" ht="12.8" hidden="false" customHeight="false" outlineLevel="0" collapsed="false">
      <c r="B10" s="9"/>
      <c r="C10" s="22" t="s">
        <v>31</v>
      </c>
      <c r="D10" s="22" t="s">
        <v>12</v>
      </c>
      <c r="E10" s="23" t="n">
        <v>0.118662483483457</v>
      </c>
      <c r="F10" s="23" t="n">
        <v>0.0952919429574885</v>
      </c>
      <c r="G10" s="23" t="n">
        <v>0.213954426440945</v>
      </c>
      <c r="H10" s="23"/>
      <c r="I10" s="23"/>
      <c r="J10" s="23"/>
      <c r="K10" s="13"/>
      <c r="L10" s="20" t="s">
        <v>32</v>
      </c>
      <c r="M10" s="20"/>
      <c r="N10" s="20"/>
      <c r="O10" s="20"/>
      <c r="P10" s="21" t="n">
        <f aca="false">1-P5/P8</f>
        <v>0.237693373591779</v>
      </c>
      <c r="Q10" s="21" t="n">
        <f aca="false">1-Q5/Q8</f>
        <v>0.256502670433059</v>
      </c>
      <c r="R10" s="21" t="n">
        <f aca="false">1-R5/R8</f>
        <v>0.254840973624837</v>
      </c>
      <c r="S10" s="21" t="n">
        <f aca="false">1-S5/S8</f>
        <v>0.273851090224059</v>
      </c>
      <c r="T10" s="20"/>
      <c r="U10" s="2"/>
      <c r="V10" s="2"/>
      <c r="W10" s="2"/>
    </row>
    <row r="11" customFormat="false" ht="12.8" hidden="false" customHeight="false" outlineLevel="0" collapsed="false">
      <c r="B11" s="9"/>
      <c r="C11" s="22" t="s">
        <v>31</v>
      </c>
      <c r="D11" s="22" t="s">
        <v>22</v>
      </c>
      <c r="E11" s="23" t="n">
        <v>0.0842829793798339</v>
      </c>
      <c r="F11" s="23" t="n">
        <v>0.187905865353604</v>
      </c>
      <c r="G11" s="23" t="n">
        <v>0.272188844733438</v>
      </c>
      <c r="H11" s="23"/>
      <c r="I11" s="23"/>
      <c r="J11" s="23"/>
      <c r="K11" s="13"/>
      <c r="L11" s="24" t="s">
        <v>33</v>
      </c>
      <c r="M11" s="24"/>
      <c r="N11" s="24"/>
      <c r="O11" s="24"/>
      <c r="P11" s="25" t="n">
        <f aca="false">1-P6/P8</f>
        <v>0.296995159187676</v>
      </c>
      <c r="Q11" s="25" t="n">
        <f aca="false">1-Q6/Q8</f>
        <v>0.320833243264663</v>
      </c>
      <c r="R11" s="25" t="n">
        <f aca="false">1-R6/R8</f>
        <v>0.318236566972686</v>
      </c>
      <c r="S11" s="25" t="n">
        <f aca="false">1-S6/S8</f>
        <v>0.374195370616377</v>
      </c>
      <c r="T11" s="20"/>
      <c r="U11" s="2"/>
      <c r="V11" s="2"/>
    </row>
    <row r="12" customFormat="false" ht="12.8" hidden="false" customHeight="false" outlineLevel="0" collapsed="false">
      <c r="B12" s="9"/>
      <c r="C12" s="22" t="s">
        <v>31</v>
      </c>
      <c r="D12" s="22" t="s">
        <v>13</v>
      </c>
      <c r="E12" s="23" t="n">
        <v>0.202945462863291</v>
      </c>
      <c r="F12" s="23" t="n">
        <v>0.283197808311093</v>
      </c>
      <c r="G12" s="23" t="n">
        <v>0.486143271174383</v>
      </c>
      <c r="H12" s="23"/>
      <c r="I12" s="23"/>
      <c r="J12" s="23"/>
      <c r="K12" s="13"/>
      <c r="L12" s="5" t="s">
        <v>34</v>
      </c>
      <c r="M12" s="6"/>
      <c r="N12" s="6"/>
      <c r="O12" s="6"/>
      <c r="P12" s="7" t="s">
        <v>4</v>
      </c>
      <c r="Q12" s="7" t="s">
        <v>4</v>
      </c>
      <c r="R12" s="7" t="s">
        <v>4</v>
      </c>
      <c r="S12" s="7" t="s">
        <v>4</v>
      </c>
      <c r="T12" s="6" t="s">
        <v>5</v>
      </c>
      <c r="U12" s="2"/>
      <c r="V12" s="2"/>
    </row>
    <row r="13" customFormat="false" ht="12.8" hidden="false" customHeight="false" outlineLevel="0" collapsed="false">
      <c r="B13" s="9"/>
      <c r="C13" s="22" t="s">
        <v>31</v>
      </c>
      <c r="D13" s="22" t="s">
        <v>27</v>
      </c>
      <c r="E13" s="23" t="n">
        <v>0.222665546762835</v>
      </c>
      <c r="F13" s="26" t="n">
        <v>0.379949761746227</v>
      </c>
      <c r="G13" s="23" t="n">
        <v>0.602615308509062</v>
      </c>
      <c r="H13" s="23" t="n">
        <v>0.22029628036949</v>
      </c>
      <c r="I13" s="23" t="n">
        <v>0.381047812245887</v>
      </c>
      <c r="J13" s="23" t="n">
        <v>0.601344092615377</v>
      </c>
      <c r="K13" s="13"/>
      <c r="L13" s="7" t="s">
        <v>10</v>
      </c>
      <c r="M13" s="7" t="s">
        <v>11</v>
      </c>
      <c r="N13" s="6"/>
      <c r="O13" s="6"/>
      <c r="P13" s="7" t="s">
        <v>12</v>
      </c>
      <c r="Q13" s="7" t="s">
        <v>13</v>
      </c>
      <c r="R13" s="7" t="s">
        <v>14</v>
      </c>
      <c r="S13" s="7" t="s">
        <v>15</v>
      </c>
      <c r="T13" s="6" t="s">
        <v>16</v>
      </c>
      <c r="U13" s="2"/>
    </row>
    <row r="14" customFormat="false" ht="12.8" hidden="false" customHeight="false" outlineLevel="0" collapsed="false">
      <c r="B14" s="9"/>
      <c r="C14" s="22" t="s">
        <v>31</v>
      </c>
      <c r="D14" s="22" t="s">
        <v>29</v>
      </c>
      <c r="E14" s="23"/>
      <c r="F14" s="23"/>
      <c r="G14" s="23"/>
      <c r="H14" s="26" t="n">
        <v>0.222942472915487</v>
      </c>
      <c r="I14" s="26" t="n">
        <v>0.380112381013645</v>
      </c>
      <c r="J14" s="23" t="n">
        <v>0.603054853929132</v>
      </c>
      <c r="K14" s="13"/>
      <c r="L14" s="14" t="s">
        <v>19</v>
      </c>
      <c r="M14" s="14" t="s">
        <v>20</v>
      </c>
      <c r="N14" s="14" t="s">
        <v>21</v>
      </c>
      <c r="O14" s="16"/>
      <c r="P14" s="27" t="n">
        <f aca="false">P5</f>
        <v>0.00985199738553852</v>
      </c>
      <c r="Q14" s="27" t="n">
        <f aca="false">Q5</f>
        <v>0.0237983187911149</v>
      </c>
      <c r="R14" s="27" t="n">
        <f aca="false">R5</f>
        <v>0.0304754452886451</v>
      </c>
      <c r="S14" s="27" t="n">
        <f aca="false">S5</f>
        <v>0.0252855151575739</v>
      </c>
      <c r="T14" s="17" t="n">
        <f aca="false">1-S14/R14</f>
        <v>0.170298746479839</v>
      </c>
      <c r="U14" s="2"/>
      <c r="V14" s="28"/>
    </row>
    <row r="15" customFormat="false" ht="12.8" hidden="false" customHeight="false" outlineLevel="0" collapsed="false">
      <c r="B15" s="9"/>
      <c r="C15" s="29" t="s">
        <v>35</v>
      </c>
      <c r="D15" s="29" t="str">
        <f aca="false">D10</f>
        <v>SRM2</v>
      </c>
      <c r="E15" s="30" t="n">
        <v>0.118657374763617</v>
      </c>
      <c r="F15" s="30" t="n">
        <v>0.0951957843398006</v>
      </c>
      <c r="G15" s="30" t="n">
        <v>0.213853159103418</v>
      </c>
      <c r="H15" s="30"/>
      <c r="I15" s="30"/>
      <c r="J15" s="30"/>
      <c r="K15" s="13"/>
      <c r="L15" s="14" t="s">
        <v>19</v>
      </c>
      <c r="M15" s="14" t="s">
        <v>36</v>
      </c>
      <c r="N15" s="14" t="s">
        <v>24</v>
      </c>
      <c r="O15" s="16"/>
      <c r="P15" s="27" t="n">
        <f aca="false">G5-G30</f>
        <v>0.00910597081118739</v>
      </c>
      <c r="Q15" s="27" t="n">
        <f aca="false">G7-G32</f>
        <v>0.0219271679276424</v>
      </c>
      <c r="R15" s="27" t="n">
        <f aca="false">G8-G33</f>
        <v>0.0280729146864981</v>
      </c>
      <c r="S15" s="27" t="n">
        <f aca="false">J9-J34</f>
        <v>0.0220973608872079</v>
      </c>
      <c r="T15" s="18" t="n">
        <f aca="false">1-S15/R15</f>
        <v>0.212858332168984</v>
      </c>
      <c r="U15" s="2"/>
      <c r="V15" s="28"/>
    </row>
    <row r="16" customFormat="false" ht="12.8" hidden="false" customHeight="false" outlineLevel="0" collapsed="false">
      <c r="B16" s="9"/>
      <c r="C16" s="29" t="s">
        <v>35</v>
      </c>
      <c r="D16" s="29" t="str">
        <f aca="false">D11</f>
        <v>OPS road</v>
      </c>
      <c r="E16" s="30" t="n">
        <v>0.0842560394683567</v>
      </c>
      <c r="F16" s="30" t="n">
        <v>0.187120683004319</v>
      </c>
      <c r="G16" s="30" t="n">
        <v>0.271376722472676</v>
      </c>
      <c r="H16" s="30"/>
      <c r="I16" s="30"/>
      <c r="J16" s="30"/>
      <c r="K16" s="13"/>
      <c r="L16" s="14" t="s">
        <v>25</v>
      </c>
      <c r="M16" s="14" t="s">
        <v>20</v>
      </c>
      <c r="N16" s="14" t="s">
        <v>37</v>
      </c>
      <c r="O16" s="16"/>
      <c r="P16" s="27" t="n">
        <f aca="false">P7</f>
        <v>0.0136903419971039</v>
      </c>
      <c r="Q16" s="27" t="n">
        <f aca="false">Q7</f>
        <v>0.0340677461291352</v>
      </c>
      <c r="R16" s="27" t="n">
        <f aca="false">R7</f>
        <v>0.043490655119492</v>
      </c>
      <c r="S16" s="27" t="n">
        <f aca="false">S7</f>
        <v>0.0383155184919229</v>
      </c>
      <c r="T16" s="17" t="n">
        <f aca="false">1-S16/R16</f>
        <v>0.11899422101944</v>
      </c>
      <c r="U16" s="2"/>
      <c r="V16" s="2"/>
    </row>
    <row r="17" customFormat="false" ht="12.8" hidden="false" customHeight="false" outlineLevel="0" collapsed="false">
      <c r="B17" s="9"/>
      <c r="C17" s="29" t="s">
        <v>35</v>
      </c>
      <c r="D17" s="29" t="str">
        <f aca="false">D12</f>
        <v>SRM2/OPS</v>
      </c>
      <c r="E17" s="30" t="n">
        <v>0.202913414231974</v>
      </c>
      <c r="F17" s="30" t="n">
        <v>0.28231646734412</v>
      </c>
      <c r="G17" s="30" t="n">
        <v>0.485229881576093</v>
      </c>
      <c r="H17" s="30"/>
      <c r="I17" s="30"/>
      <c r="J17" s="30"/>
      <c r="K17" s="13"/>
      <c r="L17" s="14" t="s">
        <v>25</v>
      </c>
      <c r="M17" s="14" t="s">
        <v>23</v>
      </c>
      <c r="N17" s="14" t="s">
        <v>38</v>
      </c>
      <c r="O17" s="16"/>
      <c r="P17" s="27" t="n">
        <f aca="false">P8</f>
        <v>0.0129239298783987</v>
      </c>
      <c r="Q17" s="27" t="n">
        <f aca="false">Q8</f>
        <v>0.0320086136758239</v>
      </c>
      <c r="R17" s="27" t="n">
        <f aca="false">R8</f>
        <v>0.040897907976628</v>
      </c>
      <c r="S17" s="27" t="n">
        <f aca="false">S8</f>
        <v>0.034821391063406</v>
      </c>
      <c r="T17" s="17" t="n">
        <f aca="false">1-S17/R17</f>
        <v>0.148577695384677</v>
      </c>
      <c r="U17" s="2"/>
    </row>
    <row r="18" customFormat="false" ht="12.8" hidden="false" customHeight="false" outlineLevel="0" collapsed="false">
      <c r="B18" s="9"/>
      <c r="C18" s="29" t="s">
        <v>35</v>
      </c>
      <c r="D18" s="29" t="str">
        <f aca="false">D13</f>
        <v>OPS All</v>
      </c>
      <c r="E18" s="30" t="n">
        <v>0.222636658938377</v>
      </c>
      <c r="F18" s="30" t="n">
        <v>0.379027695981599</v>
      </c>
      <c r="G18" s="30" t="n">
        <v>0.601664354919976</v>
      </c>
      <c r="H18" s="30" t="n">
        <v>0.220263361312046</v>
      </c>
      <c r="I18" s="30" t="n">
        <v>0.38011768852858</v>
      </c>
      <c r="J18" s="30" t="n">
        <v>0.600381049840626</v>
      </c>
      <c r="K18" s="13"/>
      <c r="L18" s="14" t="s">
        <v>25</v>
      </c>
      <c r="M18" s="14" t="s">
        <v>36</v>
      </c>
      <c r="N18" s="14" t="s">
        <v>39</v>
      </c>
      <c r="O18" s="16"/>
      <c r="P18" s="27" t="n">
        <f aca="false">G10-G30</f>
        <v>0.0129443154227528</v>
      </c>
      <c r="Q18" s="27" t="n">
        <f aca="false">G12-G32</f>
        <v>0.0321965952656627</v>
      </c>
      <c r="R18" s="27" t="n">
        <f aca="false">G13-G33</f>
        <v>0.041088124517345</v>
      </c>
      <c r="S18" s="27" t="n">
        <f aca="false">J14-J34</f>
        <v>0.0351273642215569</v>
      </c>
      <c r="T18" s="17" t="n">
        <f aca="false">1-S18/R18</f>
        <v>0.145072581574557</v>
      </c>
      <c r="U18" s="2"/>
    </row>
    <row r="19" customFormat="false" ht="12.8" hidden="false" customHeight="false" outlineLevel="0" collapsed="false">
      <c r="B19" s="9"/>
      <c r="C19" s="29" t="s">
        <v>35</v>
      </c>
      <c r="D19" s="29" t="str">
        <f aca="false">D14</f>
        <v>OPS Day/Night</v>
      </c>
      <c r="E19" s="30"/>
      <c r="F19" s="30"/>
      <c r="G19" s="30"/>
      <c r="H19" s="31" t="n">
        <v>0.222914122795342</v>
      </c>
      <c r="I19" s="31" t="n">
        <v>0.379189939547845</v>
      </c>
      <c r="J19" s="30" t="n">
        <v>0.602104062343187</v>
      </c>
      <c r="K19" s="13"/>
      <c r="L19" s="14" t="s">
        <v>40</v>
      </c>
      <c r="M19" s="14" t="s">
        <v>20</v>
      </c>
      <c r="N19" s="14" t="s">
        <v>41</v>
      </c>
      <c r="O19" s="16"/>
      <c r="P19" s="27" t="n">
        <f aca="false">G15-G20</f>
        <v>0.013589074659576</v>
      </c>
      <c r="Q19" s="27" t="n">
        <f aca="false">G17-G22</f>
        <v>0.033154356530845</v>
      </c>
      <c r="R19" s="27" t="n">
        <f aca="false">G18-G23</f>
        <v>0.0425397015304061</v>
      </c>
      <c r="S19" s="27" t="n">
        <f aca="false">J19-J24</f>
        <v>0.037364726905978</v>
      </c>
      <c r="T19" s="32" t="n">
        <f aca="false">1-S19/R19</f>
        <v>0.121650468580019</v>
      </c>
      <c r="U19" s="2"/>
    </row>
    <row r="20" customFormat="false" ht="12.8" hidden="false" customHeight="false" outlineLevel="0" collapsed="false">
      <c r="B20" s="9"/>
      <c r="C20" s="33" t="s">
        <v>42</v>
      </c>
      <c r="D20" s="33" t="s">
        <v>12</v>
      </c>
      <c r="E20" s="34" t="n">
        <v>0.114972443366792</v>
      </c>
      <c r="F20" s="34" t="n">
        <v>0.0852916410770496</v>
      </c>
      <c r="G20" s="34" t="n">
        <v>0.200264084443842</v>
      </c>
      <c r="H20" s="34"/>
      <c r="I20" s="34"/>
      <c r="J20" s="34"/>
      <c r="K20" s="13"/>
      <c r="L20" s="14" t="s">
        <v>40</v>
      </c>
      <c r="M20" s="14" t="s">
        <v>36</v>
      </c>
      <c r="N20" s="14" t="s">
        <v>43</v>
      </c>
      <c r="O20" s="16"/>
      <c r="P20" s="15" t="n">
        <f aca="false">G15-G30</f>
        <v>0.0128430480852249</v>
      </c>
      <c r="Q20" s="15" t="n">
        <f aca="false">G17-G32</f>
        <v>0.0312832056673725</v>
      </c>
      <c r="R20" s="15" t="n">
        <f aca="false">G18-G33</f>
        <v>0.0401371709282591</v>
      </c>
      <c r="S20" s="15" t="n">
        <f aca="false">J19-J34</f>
        <v>0.034176572635612</v>
      </c>
      <c r="T20" s="17" t="n">
        <f aca="false">1-S20/R20</f>
        <v>0.148505690729947</v>
      </c>
      <c r="U20" s="2"/>
      <c r="V20" s="2"/>
    </row>
    <row r="21" customFormat="false" ht="12.8" hidden="false" customHeight="false" outlineLevel="0" collapsed="false">
      <c r="B21" s="9"/>
      <c r="C21" s="33" t="s">
        <v>42</v>
      </c>
      <c r="D21" s="33" t="s">
        <v>22</v>
      </c>
      <c r="E21" s="34" t="n">
        <v>0.0818432125731177</v>
      </c>
      <c r="F21" s="34" t="n">
        <v>0.169968228028289</v>
      </c>
      <c r="G21" s="34" t="n">
        <v>0.251811440601407</v>
      </c>
      <c r="H21" s="34"/>
      <c r="I21" s="34"/>
      <c r="J21" s="34"/>
      <c r="K21" s="13"/>
      <c r="L21" s="20" t="s">
        <v>44</v>
      </c>
      <c r="M21" s="20"/>
      <c r="N21" s="20"/>
      <c r="O21" s="20"/>
      <c r="P21" s="21" t="n">
        <f aca="false">P16/P18-1</f>
        <v>0.0576335286947514</v>
      </c>
      <c r="Q21" s="21" t="n">
        <f aca="false">Q16/Q18-1</f>
        <v>0.0581164203243585</v>
      </c>
      <c r="R21" s="21" t="n">
        <f aca="false">R16/R18-1</f>
        <v>0.0584726275625651</v>
      </c>
      <c r="S21" s="21" t="n">
        <f aca="false">S16/S18-1</f>
        <v>0.0907598489387797</v>
      </c>
      <c r="T21" s="20"/>
      <c r="U21" s="2"/>
      <c r="V21" s="2"/>
    </row>
    <row r="22" customFormat="false" ht="12.8" hidden="false" customHeight="false" outlineLevel="0" collapsed="false">
      <c r="B22" s="9"/>
      <c r="C22" s="33" t="s">
        <v>42</v>
      </c>
      <c r="D22" s="33" t="s">
        <v>13</v>
      </c>
      <c r="E22" s="34" t="n">
        <v>0.19681565593991</v>
      </c>
      <c r="F22" s="34" t="n">
        <v>0.255259869105339</v>
      </c>
      <c r="G22" s="34" t="n">
        <v>0.452075525045248</v>
      </c>
      <c r="H22" s="34"/>
      <c r="I22" s="34"/>
      <c r="J22" s="34"/>
      <c r="K22" s="13"/>
      <c r="L22" s="20" t="s">
        <v>45</v>
      </c>
      <c r="M22" s="20"/>
      <c r="N22" s="20"/>
      <c r="O22" s="20"/>
      <c r="P22" s="21" t="n">
        <f aca="false">1-P14/P17</f>
        <v>0.237693373591779</v>
      </c>
      <c r="Q22" s="21" t="n">
        <f aca="false">1-Q14/Q17</f>
        <v>0.256502670433059</v>
      </c>
      <c r="R22" s="21" t="n">
        <f aca="false">1-R14/R17</f>
        <v>0.254840973624837</v>
      </c>
      <c r="S22" s="21" t="n">
        <f aca="false">1-S14/S17</f>
        <v>0.273851090224059</v>
      </c>
      <c r="T22" s="20"/>
      <c r="U22" s="2"/>
    </row>
    <row r="23" customFormat="false" ht="12.8" hidden="false" customHeight="false" outlineLevel="0" collapsed="false">
      <c r="B23" s="9"/>
      <c r="C23" s="33" t="s">
        <v>42</v>
      </c>
      <c r="D23" s="33" t="s">
        <v>27</v>
      </c>
      <c r="E23" s="34" t="n">
        <v>0.215894885531227</v>
      </c>
      <c r="F23" s="34" t="n">
        <v>0.343229767858343</v>
      </c>
      <c r="G23" s="34" t="n">
        <v>0.55912465338957</v>
      </c>
      <c r="H23" s="34" t="n">
        <v>0.213632075724262</v>
      </c>
      <c r="I23" s="34" t="n">
        <v>0.344652104846582</v>
      </c>
      <c r="J23" s="34" t="n">
        <v>0.558284180570844</v>
      </c>
      <c r="K23" s="13"/>
      <c r="L23" s="24" t="s">
        <v>46</v>
      </c>
      <c r="M23" s="24"/>
      <c r="N23" s="24"/>
      <c r="O23" s="24"/>
      <c r="P23" s="35" t="n">
        <f aca="false">P22+P21</f>
        <v>0.29532690228653</v>
      </c>
      <c r="Q23" s="35" t="n">
        <f aca="false">Q22+Q21</f>
        <v>0.314619090757418</v>
      </c>
      <c r="R23" s="35" t="n">
        <f aca="false">R22+R21</f>
        <v>0.313313601187402</v>
      </c>
      <c r="S23" s="35" t="n">
        <f aca="false">S22+S21</f>
        <v>0.364610939162839</v>
      </c>
      <c r="T23" s="20"/>
      <c r="U23" s="2"/>
    </row>
    <row r="24" customFormat="false" ht="12.8" hidden="false" customHeight="false" outlineLevel="0" collapsed="false">
      <c r="B24" s="9"/>
      <c r="C24" s="33" t="s">
        <v>42</v>
      </c>
      <c r="D24" s="33" t="s">
        <v>29</v>
      </c>
      <c r="E24" s="34"/>
      <c r="F24" s="34"/>
      <c r="G24" s="34"/>
      <c r="H24" s="36" t="n">
        <v>0.218148416379204</v>
      </c>
      <c r="I24" s="36" t="n">
        <v>0.346590919058005</v>
      </c>
      <c r="J24" s="34" t="n">
        <v>0.564739335437209</v>
      </c>
      <c r="K24" s="13"/>
      <c r="L24" s="24" t="s">
        <v>47</v>
      </c>
      <c r="M24" s="24"/>
      <c r="N24" s="24"/>
      <c r="O24" s="24"/>
      <c r="P24" s="21" t="n">
        <f aca="false">1-P15/P17</f>
        <v>0.295417810459705</v>
      </c>
      <c r="Q24" s="21" t="n">
        <f aca="false">1-$Q$15/$Q$17</f>
        <v>0.31496039941886</v>
      </c>
      <c r="R24" s="21" t="n">
        <f aca="false">1-R15/R17</f>
        <v>0.313585557908219</v>
      </c>
      <c r="S24" s="21" t="n">
        <f aca="false">1-S15/S17</f>
        <v>0.365408439686656</v>
      </c>
      <c r="T24" s="20"/>
      <c r="V24" s="28"/>
    </row>
    <row r="25" customFormat="false" ht="12.8" hidden="false" customHeight="false" outlineLevel="0" collapsed="false">
      <c r="B25" s="9"/>
      <c r="C25" s="37" t="s">
        <v>48</v>
      </c>
      <c r="D25" s="37" t="s">
        <v>12</v>
      </c>
      <c r="E25" s="38" t="n">
        <v>0.115024511531089</v>
      </c>
      <c r="F25" s="38" t="n">
        <v>0.0860059850314578</v>
      </c>
      <c r="G25" s="38" t="n">
        <v>0.201030496562547</v>
      </c>
      <c r="H25" s="38"/>
      <c r="I25" s="38"/>
      <c r="J25" s="38"/>
      <c r="K25" s="13"/>
      <c r="L25" s="39" t="s">
        <v>49</v>
      </c>
      <c r="M25" s="39"/>
      <c r="N25" s="39"/>
      <c r="O25" s="39"/>
      <c r="P25" s="17" t="n">
        <f aca="false">P19/P20-1</f>
        <v>0.0580879686349061</v>
      </c>
      <c r="Q25" s="17" t="n">
        <f aca="false">Q19/Q20-1</f>
        <v>0.0598132711643444</v>
      </c>
      <c r="R25" s="17" t="n">
        <f aca="false">R19/R20-1</f>
        <v>0.0598579956330574</v>
      </c>
      <c r="S25" s="17" t="n">
        <f aca="false">S19/S20-1</f>
        <v>0.0932847861708621</v>
      </c>
      <c r="T25" s="39"/>
      <c r="V25" s="28"/>
    </row>
    <row r="26" customFormat="false" ht="12.8" hidden="false" customHeight="false" outlineLevel="0" collapsed="false">
      <c r="B26" s="9"/>
      <c r="C26" s="37" t="s">
        <v>48</v>
      </c>
      <c r="D26" s="37" t="s">
        <v>22</v>
      </c>
      <c r="E26" s="38" t="n">
        <v>0.0818845332976487</v>
      </c>
      <c r="F26" s="38" t="n">
        <v>0.171219627638364</v>
      </c>
      <c r="G26" s="38" t="n">
        <v>0.253104160936013</v>
      </c>
      <c r="H26" s="38"/>
      <c r="I26" s="38"/>
      <c r="J26" s="38"/>
      <c r="K26" s="13"/>
      <c r="L26" s="39" t="s">
        <v>50</v>
      </c>
      <c r="M26" s="39"/>
      <c r="N26" s="39"/>
      <c r="O26" s="39"/>
      <c r="P26" s="17" t="n">
        <f aca="false">1-P14/P20</f>
        <v>0.232892587479087</v>
      </c>
      <c r="Q26" s="17" t="n">
        <f aca="false">1-Q14/Q20</f>
        <v>0.239262144546269</v>
      </c>
      <c r="R26" s="17" t="n">
        <f aca="false">1-R14/R20</f>
        <v>0.240717654387831</v>
      </c>
      <c r="S26" s="17" t="n">
        <f aca="false">1-S14/S20</f>
        <v>0.2601506468432</v>
      </c>
      <c r="T26" s="39"/>
      <c r="V26" s="40"/>
    </row>
    <row r="27" customFormat="false" ht="12.8" hidden="false" customHeight="false" outlineLevel="0" collapsed="false">
      <c r="B27" s="9"/>
      <c r="C27" s="37" t="s">
        <v>48</v>
      </c>
      <c r="D27" s="37" t="s">
        <v>13</v>
      </c>
      <c r="E27" s="38" t="n">
        <v>0.196909044828738</v>
      </c>
      <c r="F27" s="38" t="n">
        <v>0.257225612669822</v>
      </c>
      <c r="G27" s="38" t="n">
        <v>0.45413465749856</v>
      </c>
      <c r="H27" s="38"/>
      <c r="I27" s="38"/>
      <c r="J27" s="38"/>
      <c r="K27" s="13"/>
      <c r="L27" s="39" t="s">
        <v>51</v>
      </c>
      <c r="M27" s="39"/>
      <c r="N27" s="39"/>
      <c r="O27" s="39"/>
      <c r="P27" s="17" t="n">
        <f aca="false">1-P15/P20</f>
        <v>0.290980556113993</v>
      </c>
      <c r="Q27" s="17" t="n">
        <f aca="false">1-Q15/Q20</f>
        <v>0.299075415710613</v>
      </c>
      <c r="R27" s="17" t="n">
        <f aca="false">1-R15/R20</f>
        <v>0.300575650020889</v>
      </c>
      <c r="S27" s="17" t="n">
        <f aca="false">1-S15/S20</f>
        <v>0.353435433014063</v>
      </c>
      <c r="T27" s="39"/>
      <c r="V27" s="28"/>
    </row>
    <row r="28" customFormat="false" ht="12.8" hidden="false" customHeight="false" outlineLevel="0" collapsed="false">
      <c r="B28" s="9"/>
      <c r="C28" s="37" t="s">
        <v>48</v>
      </c>
      <c r="D28" s="37" t="s">
        <v>27</v>
      </c>
      <c r="E28" s="38" t="n">
        <v>0.215994002326484</v>
      </c>
      <c r="F28" s="38" t="n">
        <v>0.34572339820595</v>
      </c>
      <c r="G28" s="38" t="n">
        <v>0.561717400532434</v>
      </c>
      <c r="H28" s="38" t="n">
        <v>0.213725862562968</v>
      </c>
      <c r="I28" s="38" t="n">
        <v>0.347126111894915</v>
      </c>
      <c r="J28" s="38" t="n">
        <v>0.560851974457883</v>
      </c>
      <c r="K28" s="13"/>
      <c r="L28" s="20" t="s">
        <v>52</v>
      </c>
      <c r="M28" s="20"/>
      <c r="N28" s="20"/>
      <c r="O28" s="20"/>
      <c r="P28" s="35" t="n">
        <f aca="false">P27*P20/P17</f>
        <v>0.289159513336862</v>
      </c>
      <c r="Q28" s="35" t="n">
        <f aca="false">Q27*Q20/Q17</f>
        <v>0.292297499494539</v>
      </c>
      <c r="R28" s="35" t="n">
        <f aca="false">R27*R20/R17</f>
        <v>0.294984678645553</v>
      </c>
      <c r="S28" s="35" t="n">
        <f aca="false">S27*S20/S17</f>
        <v>0.34689055719828</v>
      </c>
      <c r="T28" s="20"/>
      <c r="V28" s="28"/>
    </row>
    <row r="29" customFormat="false" ht="12.8" hidden="false" customHeight="false" outlineLevel="0" collapsed="false">
      <c r="B29" s="9"/>
      <c r="C29" s="37" t="s">
        <v>48</v>
      </c>
      <c r="D29" s="37" t="s">
        <v>29</v>
      </c>
      <c r="E29" s="38"/>
      <c r="F29" s="38"/>
      <c r="G29" s="38"/>
      <c r="H29" s="41" t="n">
        <v>0.218275222933498</v>
      </c>
      <c r="I29" s="41" t="n">
        <v>0.349958239932228</v>
      </c>
      <c r="J29" s="38" t="n">
        <v>0.568233462865726</v>
      </c>
      <c r="L29" s="20" t="s">
        <v>53</v>
      </c>
      <c r="M29" s="20"/>
      <c r="N29" s="20"/>
      <c r="O29" s="20"/>
      <c r="P29" s="35" t="n">
        <f aca="false">1-P20/P17</f>
        <v>0.0062582971228432</v>
      </c>
      <c r="Q29" s="35" t="n">
        <f aca="false">1-Q20/Q17</f>
        <v>0.0226628999243208</v>
      </c>
      <c r="R29" s="35" t="n">
        <f aca="false">1-R20/R17</f>
        <v>0.0186008792626658</v>
      </c>
      <c r="S29" s="35" t="n">
        <f aca="false">1-S20/S17</f>
        <v>0.0185178824883766</v>
      </c>
      <c r="T29" s="20"/>
      <c r="V29" s="2"/>
    </row>
    <row r="30" customFormat="false" ht="12.8" hidden="false" customHeight="false" outlineLevel="0" collapsed="false">
      <c r="B30" s="9"/>
      <c r="C30" s="42" t="s">
        <v>54</v>
      </c>
      <c r="D30" s="42" t="str">
        <f aca="false">D25</f>
        <v>SRM2</v>
      </c>
      <c r="E30" s="43" t="n">
        <v>0.115023485294134</v>
      </c>
      <c r="F30" s="43" t="n">
        <v>0.0859866257240587</v>
      </c>
      <c r="G30" s="43" t="n">
        <v>0.201010111018193</v>
      </c>
      <c r="H30" s="43"/>
      <c r="I30" s="43"/>
      <c r="J30" s="43"/>
      <c r="L30" s="24" t="s">
        <v>55</v>
      </c>
      <c r="M30" s="24"/>
      <c r="N30" s="24"/>
      <c r="O30" s="24"/>
      <c r="P30" s="25" t="n">
        <f aca="false">P29+P28</f>
        <v>0.295417810459705</v>
      </c>
      <c r="Q30" s="25" t="n">
        <f aca="false">Q29+Q28</f>
        <v>0.31496039941886</v>
      </c>
      <c r="R30" s="25" t="n">
        <f aca="false">R29+R28</f>
        <v>0.313585557908219</v>
      </c>
      <c r="S30" s="25" t="n">
        <f aca="false">S29+S28</f>
        <v>0.365408439686656</v>
      </c>
      <c r="T30" s="20"/>
    </row>
    <row r="31" customFormat="false" ht="12.8" hidden="false" customHeight="false" outlineLevel="0" collapsed="false">
      <c r="B31" s="9"/>
      <c r="C31" s="42" t="s">
        <v>54</v>
      </c>
      <c r="D31" s="42" t="str">
        <f aca="false">D26</f>
        <v>OPS road</v>
      </c>
      <c r="E31" s="43" t="n">
        <v>0.0818762516967891</v>
      </c>
      <c r="F31" s="43" t="n">
        <v>0.171060313193739</v>
      </c>
      <c r="G31" s="43" t="n">
        <v>0.252936564890528</v>
      </c>
      <c r="H31" s="43"/>
      <c r="I31" s="43"/>
      <c r="J31" s="43"/>
      <c r="K31" s="44"/>
    </row>
    <row r="32" customFormat="false" ht="12.8" hidden="false" customHeight="false" outlineLevel="0" collapsed="false">
      <c r="B32" s="9"/>
      <c r="C32" s="42" t="s">
        <v>54</v>
      </c>
      <c r="D32" s="42" t="str">
        <f aca="false">D27</f>
        <v>SRM2/OPS</v>
      </c>
      <c r="E32" s="43" t="n">
        <v>0.196899736990923</v>
      </c>
      <c r="F32" s="43" t="n">
        <v>0.257046938917798</v>
      </c>
      <c r="G32" s="43" t="n">
        <v>0.453946675908721</v>
      </c>
      <c r="H32" s="43"/>
      <c r="I32" s="43"/>
      <c r="J32" s="43"/>
      <c r="K32" s="44"/>
      <c r="L32" s="5" t="s">
        <v>56</v>
      </c>
      <c r="M32" s="6"/>
      <c r="N32" s="6"/>
      <c r="O32" s="6"/>
      <c r="P32" s="7" t="s">
        <v>4</v>
      </c>
      <c r="Q32" s="7" t="s">
        <v>4</v>
      </c>
      <c r="R32" s="7" t="s">
        <v>4</v>
      </c>
      <c r="S32" s="7" t="s">
        <v>4</v>
      </c>
      <c r="T32" s="6" t="s">
        <v>5</v>
      </c>
    </row>
    <row r="33" customFormat="false" ht="12.8" hidden="false" customHeight="false" outlineLevel="0" collapsed="false">
      <c r="B33" s="9"/>
      <c r="C33" s="42" t="s">
        <v>54</v>
      </c>
      <c r="D33" s="42" t="str">
        <f aca="false">D28</f>
        <v>OPS All</v>
      </c>
      <c r="E33" s="43" t="n">
        <v>0.215988626894499</v>
      </c>
      <c r="F33" s="43" t="n">
        <v>0.345538557097218</v>
      </c>
      <c r="G33" s="43" t="n">
        <v>0.561527183991717</v>
      </c>
      <c r="H33" s="43" t="n">
        <v>0.213716613076053</v>
      </c>
      <c r="I33" s="43" t="n">
        <v>0.346938459229769</v>
      </c>
      <c r="J33" s="43" t="n">
        <v>0.560655072305822</v>
      </c>
      <c r="K33" s="44"/>
      <c r="L33" s="7" t="s">
        <v>10</v>
      </c>
      <c r="M33" s="7" t="s">
        <v>11</v>
      </c>
      <c r="N33" s="6"/>
      <c r="O33" s="6"/>
      <c r="P33" s="7" t="s">
        <v>12</v>
      </c>
      <c r="Q33" s="7" t="s">
        <v>13</v>
      </c>
      <c r="R33" s="7" t="s">
        <v>14</v>
      </c>
      <c r="S33" s="7" t="s">
        <v>15</v>
      </c>
      <c r="T33" s="6" t="s">
        <v>16</v>
      </c>
    </row>
    <row r="34" customFormat="false" ht="12.8" hidden="false" customHeight="false" outlineLevel="0" collapsed="false">
      <c r="B34" s="9"/>
      <c r="C34" s="42" t="s">
        <v>54</v>
      </c>
      <c r="D34" s="42" t="str">
        <f aca="false">D29</f>
        <v>OPS Day/Night</v>
      </c>
      <c r="E34" s="43"/>
      <c r="F34" s="43"/>
      <c r="G34" s="43"/>
      <c r="H34" s="45" t="n">
        <v>0.218267512441956</v>
      </c>
      <c r="I34" s="45" t="n">
        <v>0.349659977265619</v>
      </c>
      <c r="J34" s="43" t="n">
        <v>0.567927489707575</v>
      </c>
      <c r="K34" s="44"/>
      <c r="L34" s="14" t="s">
        <v>57</v>
      </c>
      <c r="M34" s="14" t="s">
        <v>58</v>
      </c>
      <c r="N34" s="15" t="s">
        <v>59</v>
      </c>
      <c r="O34" s="16"/>
      <c r="P34" s="15" t="n">
        <f aca="false">G36-G46</f>
        <v>0.00402712919126801</v>
      </c>
      <c r="Q34" s="15" t="n">
        <f aca="false">G38-G48</f>
        <v>0.010616396513349</v>
      </c>
      <c r="R34" s="15" t="n">
        <f aca="false">G39-G49</f>
        <v>0.013865719391717</v>
      </c>
      <c r="S34" s="15" t="n">
        <f aca="false">G40-G50</f>
        <v>0.013392987222111</v>
      </c>
      <c r="T34" s="18" t="n">
        <f aca="false">1-S34/R34</f>
        <v>0.0340935912700226</v>
      </c>
    </row>
    <row r="35" customFormat="false" ht="12.8" hidden="false" customHeight="false" outlineLevel="0" collapsed="false">
      <c r="B35" s="8"/>
      <c r="C35" s="3" t="s">
        <v>0</v>
      </c>
      <c r="D35" s="3"/>
      <c r="E35" s="4" t="s">
        <v>60</v>
      </c>
      <c r="F35" s="3"/>
      <c r="G35" s="3"/>
      <c r="H35" s="4" t="s">
        <v>61</v>
      </c>
      <c r="I35" s="3"/>
      <c r="J35" s="3"/>
      <c r="K35" s="44"/>
      <c r="L35" s="14" t="s">
        <v>62</v>
      </c>
      <c r="M35" s="14" t="s">
        <v>58</v>
      </c>
      <c r="N35" s="15" t="s">
        <v>28</v>
      </c>
      <c r="O35" s="16"/>
      <c r="P35" s="15" t="n">
        <f aca="false">G41-G46</f>
        <v>0.0053881476091546</v>
      </c>
      <c r="Q35" s="15" t="n">
        <f aca="false">G43-G48</f>
        <v>0.014315407151382</v>
      </c>
      <c r="R35" s="15" t="n">
        <f aca="false">G44-G49</f>
        <v>0.018726127986247</v>
      </c>
      <c r="S35" s="15" t="n">
        <f aca="false">G45-G50</f>
        <v>0.017994638444732</v>
      </c>
      <c r="T35" s="17" t="n">
        <f aca="false">1-S35/R35</f>
        <v>0.0390625089208099</v>
      </c>
    </row>
    <row r="36" customFormat="false" ht="12.8" hidden="false" customHeight="false" outlineLevel="0" collapsed="false">
      <c r="B36" s="9" t="s">
        <v>56</v>
      </c>
      <c r="C36" s="10" t="s">
        <v>63</v>
      </c>
      <c r="D36" s="10" t="s">
        <v>12</v>
      </c>
      <c r="E36" s="46" t="n">
        <v>0.0326916844021788</v>
      </c>
      <c r="F36" s="46" t="n">
        <v>0.0355417248681585</v>
      </c>
      <c r="G36" s="46" t="n">
        <v>0.0682334092703373</v>
      </c>
      <c r="H36" s="46" t="n">
        <v>0.0150821600141164</v>
      </c>
      <c r="I36" s="46" t="n">
        <v>0.021205307761698</v>
      </c>
      <c r="J36" s="46" t="n">
        <v>0.0362874677758144</v>
      </c>
      <c r="K36" s="44"/>
      <c r="L36" s="24" t="s">
        <v>64</v>
      </c>
      <c r="M36" s="24"/>
      <c r="N36" s="24"/>
      <c r="O36" s="24"/>
      <c r="P36" s="25" t="n">
        <f aca="false">1-P34/P35</f>
        <v>0.252594864991113</v>
      </c>
      <c r="Q36" s="25" t="n">
        <f aca="false">1-Q34/Q35</f>
        <v>0.25839367325825</v>
      </c>
      <c r="R36" s="25" t="n">
        <f aca="false">1-R34/R35</f>
        <v>0.259552246898003</v>
      </c>
      <c r="S36" s="25" t="n">
        <f aca="false">1-S34/S35</f>
        <v>0.255723461005029</v>
      </c>
      <c r="T36" s="20"/>
    </row>
    <row r="37" customFormat="false" ht="12.8" hidden="false" customHeight="false" outlineLevel="0" collapsed="false">
      <c r="B37" s="9" t="s">
        <v>65</v>
      </c>
      <c r="C37" s="10" t="s">
        <v>63</v>
      </c>
      <c r="D37" s="10" t="s">
        <v>22</v>
      </c>
      <c r="E37" s="46" t="n">
        <v>0.0325253030881107</v>
      </c>
      <c r="F37" s="46" t="n">
        <v>0.0666566461082917</v>
      </c>
      <c r="G37" s="46" t="n">
        <v>0.0991819491964024</v>
      </c>
      <c r="H37" s="46" t="n">
        <v>0.427934693225031</v>
      </c>
      <c r="I37" s="46" t="n">
        <v>0.802603469891258</v>
      </c>
      <c r="J37" s="46" t="n">
        <v>1.23053816311629</v>
      </c>
      <c r="K37" s="44"/>
    </row>
    <row r="38" customFormat="false" ht="12.8" hidden="false" customHeight="false" outlineLevel="0" collapsed="false">
      <c r="B38" s="9"/>
      <c r="C38" s="10" t="s">
        <v>63</v>
      </c>
      <c r="D38" s="10" t="s">
        <v>13</v>
      </c>
      <c r="E38" s="46" t="n">
        <v>0.0652169874902895</v>
      </c>
      <c r="F38" s="46" t="n">
        <v>0.10219837097645</v>
      </c>
      <c r="G38" s="46" t="n">
        <v>0.16741535846674</v>
      </c>
      <c r="H38" s="46" t="n">
        <v>0.443016853239147</v>
      </c>
      <c r="I38" s="46" t="n">
        <v>0.823808777652956</v>
      </c>
      <c r="J38" s="46" t="n">
        <v>1.2668256308921</v>
      </c>
      <c r="K38" s="44"/>
      <c r="L38" s="5" t="s">
        <v>65</v>
      </c>
      <c r="M38" s="6"/>
      <c r="N38" s="6"/>
      <c r="O38" s="6"/>
      <c r="P38" s="7" t="s">
        <v>4</v>
      </c>
      <c r="Q38" s="7" t="s">
        <v>4</v>
      </c>
      <c r="R38" s="7" t="s">
        <v>4</v>
      </c>
      <c r="S38" s="7" t="s">
        <v>4</v>
      </c>
      <c r="T38" s="6" t="s">
        <v>5</v>
      </c>
    </row>
    <row r="39" customFormat="false" ht="12.8" hidden="false" customHeight="false" outlineLevel="0" collapsed="false">
      <c r="B39" s="9"/>
      <c r="C39" s="10" t="s">
        <v>63</v>
      </c>
      <c r="D39" s="10" t="s">
        <v>66</v>
      </c>
      <c r="E39" s="46" t="n">
        <v>0.0731522137303382</v>
      </c>
      <c r="F39" s="46" t="n">
        <v>0.139859240585401</v>
      </c>
      <c r="G39" s="46" t="n">
        <v>0.213011454315739</v>
      </c>
      <c r="H39" s="46" t="n">
        <v>0.436966683567353</v>
      </c>
      <c r="I39" s="46" t="n">
        <v>0.836668176459646</v>
      </c>
      <c r="J39" s="46" t="n">
        <v>1.273634860027</v>
      </c>
      <c r="K39" s="44"/>
      <c r="L39" s="7" t="s">
        <v>10</v>
      </c>
      <c r="M39" s="7" t="s">
        <v>11</v>
      </c>
      <c r="N39" s="6"/>
      <c r="O39" s="6"/>
      <c r="P39" s="7" t="s">
        <v>12</v>
      </c>
      <c r="Q39" s="7" t="s">
        <v>13</v>
      </c>
      <c r="R39" s="7" t="s">
        <v>14</v>
      </c>
      <c r="S39" s="7" t="s">
        <v>15</v>
      </c>
      <c r="T39" s="6" t="s">
        <v>16</v>
      </c>
    </row>
    <row r="40" customFormat="false" ht="12.8" hidden="false" customHeight="false" outlineLevel="0" collapsed="false">
      <c r="B40" s="9"/>
      <c r="C40" s="10" t="s">
        <v>63</v>
      </c>
      <c r="D40" s="10" t="s">
        <v>29</v>
      </c>
      <c r="E40" s="46" t="n">
        <v>0.0734804792779502</v>
      </c>
      <c r="F40" s="46" t="n">
        <v>0.140451402880295</v>
      </c>
      <c r="G40" s="46" t="n">
        <v>0.213931882158245</v>
      </c>
      <c r="H40" s="46" t="n">
        <v>0.439180346163103</v>
      </c>
      <c r="I40" s="46" t="n">
        <v>0.845589350785589</v>
      </c>
      <c r="J40" s="46" t="n">
        <v>1.28476969694869</v>
      </c>
      <c r="K40" s="44"/>
      <c r="L40" s="14" t="s">
        <v>57</v>
      </c>
      <c r="M40" s="14" t="s">
        <v>58</v>
      </c>
      <c r="N40" s="15" t="s">
        <v>59</v>
      </c>
      <c r="O40" s="16"/>
      <c r="P40" s="15" t="n">
        <f aca="false">J36-J46</f>
        <v>0.0017469768452513</v>
      </c>
      <c r="Q40" s="15" t="n">
        <f aca="false">J38-J48</f>
        <v>0.05742226189022</v>
      </c>
      <c r="R40" s="15" t="n">
        <f aca="false">J39-J49</f>
        <v>0.0588663389097199</v>
      </c>
      <c r="S40" s="15" t="n">
        <f aca="false">J40-J50</f>
        <v>0.0549140397540899</v>
      </c>
      <c r="T40" s="18" t="n">
        <f aca="false">1-S40/R40</f>
        <v>0.0671402235782222</v>
      </c>
    </row>
    <row r="41" customFormat="false" ht="12.8" hidden="false" customHeight="false" outlineLevel="0" collapsed="false">
      <c r="B41" s="9"/>
      <c r="C41" s="22" t="s">
        <v>67</v>
      </c>
      <c r="D41" s="22" t="s">
        <v>12</v>
      </c>
      <c r="E41" s="47" t="n">
        <v>0.0327582490508562</v>
      </c>
      <c r="F41" s="47" t="n">
        <v>0.0368361786373677</v>
      </c>
      <c r="G41" s="47" t="n">
        <v>0.0695944276882239</v>
      </c>
      <c r="H41" s="47" t="n">
        <v>0.0151084984911258</v>
      </c>
      <c r="I41" s="47" t="n">
        <v>0.0218253648007272</v>
      </c>
      <c r="J41" s="47" t="n">
        <v>0.036933863291853</v>
      </c>
      <c r="K41" s="44"/>
      <c r="L41" s="14" t="s">
        <v>62</v>
      </c>
      <c r="M41" s="14" t="s">
        <v>58</v>
      </c>
      <c r="N41" s="15" t="s">
        <v>28</v>
      </c>
      <c r="O41" s="16"/>
      <c r="P41" s="15" t="n">
        <f aca="false">J41-J46</f>
        <v>0.0023933723612899</v>
      </c>
      <c r="Q41" s="15" t="n">
        <f aca="false">J43-J48</f>
        <v>0.0737229309971801</v>
      </c>
      <c r="R41" s="15" t="n">
        <f aca="false">J44-J49</f>
        <v>0.0793113536199699</v>
      </c>
      <c r="S41" s="15" t="n">
        <f aca="false">J45-J50</f>
        <v>0.07325621023225</v>
      </c>
      <c r="T41" s="17" t="n">
        <f aca="false">1-S41/R41</f>
        <v>0.0763464890125796</v>
      </c>
    </row>
    <row r="42" customFormat="false" ht="12.8" hidden="false" customHeight="false" outlineLevel="0" collapsed="false">
      <c r="B42" s="9"/>
      <c r="C42" s="22" t="s">
        <v>67</v>
      </c>
      <c r="D42" s="22" t="s">
        <v>22</v>
      </c>
      <c r="E42" s="47" t="n">
        <v>0.0325937699098229</v>
      </c>
      <c r="F42" s="47" t="n">
        <v>0.0689261715067258</v>
      </c>
      <c r="G42" s="47" t="n">
        <v>0.101519941416549</v>
      </c>
      <c r="H42" s="47" t="n">
        <v>0.428645847741792</v>
      </c>
      <c r="I42" s="47" t="n">
        <v>0.817546588965415</v>
      </c>
      <c r="J42" s="47" t="n">
        <v>1.24619243670721</v>
      </c>
      <c r="K42" s="44"/>
      <c r="L42" s="24" t="s">
        <v>64</v>
      </c>
      <c r="M42" s="24"/>
      <c r="N42" s="24"/>
      <c r="O42" s="24"/>
      <c r="P42" s="25" t="n">
        <f aca="false">1-P40/P41</f>
        <v>0.270077287802481</v>
      </c>
      <c r="Q42" s="25" t="n">
        <f aca="false">1-Q40/Q41</f>
        <v>0.221107176376147</v>
      </c>
      <c r="R42" s="25" t="n">
        <f aca="false">1-R40/R41</f>
        <v>0.257781689217092</v>
      </c>
      <c r="S42" s="25" t="n">
        <f aca="false">1-S40/S41</f>
        <v>0.250383829848807</v>
      </c>
      <c r="T42" s="20" t="n">
        <f aca="false">Q41-Q40</f>
        <v>0.01630066910696</v>
      </c>
    </row>
    <row r="43" customFormat="false" ht="12.8" hidden="false" customHeight="false" outlineLevel="0" collapsed="false">
      <c r="B43" s="9"/>
      <c r="C43" s="22" t="s">
        <v>67</v>
      </c>
      <c r="D43" s="22" t="s">
        <v>13</v>
      </c>
      <c r="E43" s="47" t="n">
        <v>0.0653520189606791</v>
      </c>
      <c r="F43" s="47" t="n">
        <v>0.105762350144093</v>
      </c>
      <c r="G43" s="47" t="n">
        <v>0.171114369104773</v>
      </c>
      <c r="H43" s="47" t="n">
        <v>0.443754346232918</v>
      </c>
      <c r="I43" s="47" t="n">
        <v>0.839371953766142</v>
      </c>
      <c r="J43" s="47" t="n">
        <v>1.28312629999906</v>
      </c>
      <c r="K43" s="44"/>
    </row>
    <row r="44" customFormat="false" ht="12.8" hidden="false" customHeight="false" outlineLevel="0" collapsed="false">
      <c r="B44" s="9"/>
      <c r="C44" s="22" t="s">
        <v>67</v>
      </c>
      <c r="D44" s="22" t="s">
        <v>66</v>
      </c>
      <c r="E44" s="47" t="n">
        <v>0.0733022096580616</v>
      </c>
      <c r="F44" s="47" t="n">
        <v>0.144569653252207</v>
      </c>
      <c r="G44" s="47" t="n">
        <v>0.217871862910269</v>
      </c>
      <c r="H44" s="47" t="n">
        <v>0.437682485410489</v>
      </c>
      <c r="I44" s="47" t="n">
        <v>0.856397389326757</v>
      </c>
      <c r="J44" s="47" t="n">
        <v>1.29407987473725</v>
      </c>
      <c r="K44" s="44"/>
      <c r="L44" s="5" t="s">
        <v>68</v>
      </c>
      <c r="M44" s="6"/>
      <c r="N44" s="6"/>
      <c r="O44" s="6"/>
      <c r="P44" s="7" t="s">
        <v>69</v>
      </c>
      <c r="Q44" s="7" t="s">
        <v>4</v>
      </c>
      <c r="R44" s="7" t="s">
        <v>4</v>
      </c>
      <c r="S44" s="7" t="s">
        <v>4</v>
      </c>
      <c r="T44" s="6" t="s">
        <v>5</v>
      </c>
    </row>
    <row r="45" customFormat="false" ht="12.8" hidden="false" customHeight="false" outlineLevel="0" collapsed="false">
      <c r="B45" s="9"/>
      <c r="C45" s="22" t="s">
        <v>67</v>
      </c>
      <c r="D45" s="22" t="s">
        <v>29</v>
      </c>
      <c r="E45" s="47" t="n">
        <v>0.0736234025649544</v>
      </c>
      <c r="F45" s="47" t="n">
        <v>0.144910130815912</v>
      </c>
      <c r="G45" s="47" t="n">
        <v>0.218533533380866</v>
      </c>
      <c r="H45" s="47" t="n">
        <v>0.439871176290609</v>
      </c>
      <c r="I45" s="47" t="n">
        <v>0.863240691136244</v>
      </c>
      <c r="J45" s="47" t="n">
        <v>1.30311186742685</v>
      </c>
      <c r="K45" s="44"/>
      <c r="L45" s="7" t="s">
        <v>10</v>
      </c>
      <c r="M45" s="7" t="s">
        <v>11</v>
      </c>
      <c r="N45" s="6"/>
      <c r="O45" s="6"/>
      <c r="P45" s="6"/>
      <c r="Q45" s="7" t="s">
        <v>70</v>
      </c>
      <c r="R45" s="7" t="s">
        <v>14</v>
      </c>
      <c r="S45" s="7" t="s">
        <v>15</v>
      </c>
      <c r="T45" s="6" t="s">
        <v>16</v>
      </c>
    </row>
    <row r="46" customFormat="false" ht="12.8" hidden="false" customHeight="false" outlineLevel="0" collapsed="false">
      <c r="B46" s="9"/>
      <c r="C46" s="37" t="s">
        <v>71</v>
      </c>
      <c r="D46" s="37" t="s">
        <v>12</v>
      </c>
      <c r="E46" s="48" t="n">
        <v>0.031517468068096</v>
      </c>
      <c r="F46" s="48" t="n">
        <v>0.0326888120109733</v>
      </c>
      <c r="G46" s="48" t="n">
        <v>0.0642062800790693</v>
      </c>
      <c r="H46" s="48" t="n">
        <v>0.014696532749371</v>
      </c>
      <c r="I46" s="48" t="n">
        <v>0.0198439581811921</v>
      </c>
      <c r="J46" s="48" t="n">
        <v>0.0345404909305631</v>
      </c>
      <c r="K46" s="44"/>
      <c r="L46" s="14" t="s">
        <v>57</v>
      </c>
      <c r="M46" s="14" t="s">
        <v>58</v>
      </c>
      <c r="N46" s="15" t="s">
        <v>59</v>
      </c>
      <c r="O46" s="16"/>
      <c r="P46" s="15"/>
      <c r="Q46" s="49" t="n">
        <f aca="false">J52-J61</f>
        <v>0.025493185785429</v>
      </c>
      <c r="R46" s="15" t="n">
        <f aca="false">J53-J62</f>
        <v>0.025837418084976</v>
      </c>
      <c r="S46" s="15" t="n">
        <f aca="false">J54-J63</f>
        <v>0.022042507074457</v>
      </c>
      <c r="T46" s="18" t="n">
        <f aca="false">1-S46/R46</f>
        <v>0.146876557016574</v>
      </c>
    </row>
    <row r="47" customFormat="false" ht="12.8" hidden="false" customHeight="false" outlineLevel="0" collapsed="false">
      <c r="B47" s="9"/>
      <c r="C47" s="37" t="s">
        <v>71</v>
      </c>
      <c r="D47" s="37" t="s">
        <v>22</v>
      </c>
      <c r="E47" s="48" t="n">
        <v>0.0313125829724401</v>
      </c>
      <c r="F47" s="48" t="n">
        <v>0.061280098901882</v>
      </c>
      <c r="G47" s="48" t="n">
        <v>0.0925926818743221</v>
      </c>
      <c r="H47" s="48" t="n">
        <v>0.418287613534359</v>
      </c>
      <c r="I47" s="48" t="n">
        <v>0.756575264536961</v>
      </c>
      <c r="J47" s="48" t="n">
        <v>1.17486287807132</v>
      </c>
      <c r="K47" s="44"/>
      <c r="L47" s="14" t="s">
        <v>62</v>
      </c>
      <c r="M47" s="14" t="s">
        <v>58</v>
      </c>
      <c r="N47" s="15" t="s">
        <v>28</v>
      </c>
      <c r="O47" s="16"/>
      <c r="P47" s="15"/>
      <c r="Q47" s="49" t="n">
        <f aca="false">J55-J61</f>
        <v>0.0358186198785509</v>
      </c>
      <c r="R47" s="15" t="n">
        <f aca="false">J56-J62</f>
        <v>0.036181777654753</v>
      </c>
      <c r="S47" s="15" t="n">
        <f aca="false">J57-J63</f>
        <v>0.031667238228437</v>
      </c>
      <c r="T47" s="17" t="n">
        <f aca="false">1-S47/R47</f>
        <v>0.124773842495905</v>
      </c>
    </row>
    <row r="48" customFormat="false" ht="12.8" hidden="false" customHeight="false" outlineLevel="0" collapsed="false">
      <c r="B48" s="9"/>
      <c r="C48" s="37" t="s">
        <v>71</v>
      </c>
      <c r="D48" s="50" t="s">
        <v>13</v>
      </c>
      <c r="E48" s="48" t="n">
        <v>0.0628300510405361</v>
      </c>
      <c r="F48" s="48" t="n">
        <v>0.0939689109128553</v>
      </c>
      <c r="G48" s="48" t="n">
        <v>0.156798961953391</v>
      </c>
      <c r="H48" s="48" t="n">
        <v>0.43298414628373</v>
      </c>
      <c r="I48" s="48" t="n">
        <v>0.776419222718153</v>
      </c>
      <c r="J48" s="48" t="n">
        <v>1.20940336900188</v>
      </c>
      <c r="K48" s="44"/>
      <c r="L48" s="24" t="s">
        <v>64</v>
      </c>
      <c r="M48" s="24"/>
      <c r="N48" s="24"/>
      <c r="O48" s="24"/>
      <c r="P48" s="25"/>
      <c r="Q48" s="25" t="n">
        <f aca="false">1-Q46/Q47</f>
        <v>0.288270015096395</v>
      </c>
      <c r="R48" s="25" t="n">
        <f aca="false">1-R46/R47</f>
        <v>0.285899705329102</v>
      </c>
      <c r="S48" s="25" t="n">
        <f aca="false">1-S46/S47</f>
        <v>0.303933392755957</v>
      </c>
      <c r="T48" s="20" t="n">
        <f aca="false">R47-R46</f>
        <v>0.010344359569777</v>
      </c>
    </row>
    <row r="49" customFormat="false" ht="12.8" hidden="false" customHeight="false" outlineLevel="0" collapsed="false">
      <c r="B49" s="9"/>
      <c r="C49" s="37" t="s">
        <v>71</v>
      </c>
      <c r="D49" s="37" t="s">
        <v>66</v>
      </c>
      <c r="E49" s="48" t="n">
        <v>0.0704622867681469</v>
      </c>
      <c r="F49" s="48" t="n">
        <v>0.128683448155875</v>
      </c>
      <c r="G49" s="48" t="n">
        <v>0.199145734924022</v>
      </c>
      <c r="H49" s="48" t="n">
        <v>0.426943208841192</v>
      </c>
      <c r="I49" s="48" t="n">
        <v>0.787825312276091</v>
      </c>
      <c r="J49" s="48" t="n">
        <v>1.21476852111728</v>
      </c>
      <c r="K49" s="44"/>
      <c r="L49" s="44"/>
      <c r="M49" s="44"/>
      <c r="N49" s="44"/>
      <c r="O49" s="44"/>
      <c r="Q49" s="44"/>
      <c r="R49" s="44"/>
    </row>
    <row r="50" customFormat="false" ht="12.8" hidden="false" customHeight="false" outlineLevel="0" collapsed="false">
      <c r="B50" s="9"/>
      <c r="C50" s="37" t="s">
        <v>71</v>
      </c>
      <c r="D50" s="37" t="s">
        <v>29</v>
      </c>
      <c r="E50" s="48" t="n">
        <v>0.0708167863102924</v>
      </c>
      <c r="F50" s="48" t="n">
        <v>0.129722108625842</v>
      </c>
      <c r="G50" s="48" t="n">
        <v>0.200538894936134</v>
      </c>
      <c r="H50" s="48" t="n">
        <v>0.429138420654914</v>
      </c>
      <c r="I50" s="48" t="n">
        <v>0.800717236539688</v>
      </c>
      <c r="J50" s="48" t="n">
        <v>1.2298556571946</v>
      </c>
      <c r="K50" s="44"/>
      <c r="L50" s="5" t="s">
        <v>72</v>
      </c>
      <c r="M50" s="6"/>
      <c r="N50" s="6"/>
      <c r="O50" s="6"/>
      <c r="P50" s="7" t="s">
        <v>69</v>
      </c>
      <c r="Q50" s="7" t="s">
        <v>4</v>
      </c>
      <c r="R50" s="7" t="s">
        <v>4</v>
      </c>
      <c r="S50" s="7" t="s">
        <v>4</v>
      </c>
      <c r="T50" s="6" t="s">
        <v>5</v>
      </c>
    </row>
    <row r="51" customFormat="false" ht="12.8" hidden="false" customHeight="false" outlineLevel="0" collapsed="false">
      <c r="B51" s="8"/>
      <c r="C51" s="3" t="s">
        <v>0</v>
      </c>
      <c r="D51" s="3"/>
      <c r="E51" s="4" t="s">
        <v>73</v>
      </c>
      <c r="F51" s="3"/>
      <c r="G51" s="3"/>
      <c r="H51" s="4" t="s">
        <v>74</v>
      </c>
      <c r="I51" s="3"/>
      <c r="J51" s="3"/>
      <c r="K51" s="44"/>
      <c r="L51" s="7" t="s">
        <v>10</v>
      </c>
      <c r="M51" s="7" t="s">
        <v>11</v>
      </c>
      <c r="N51" s="6"/>
      <c r="O51" s="6"/>
      <c r="P51" s="6"/>
      <c r="Q51" s="7" t="s">
        <v>70</v>
      </c>
      <c r="R51" s="7" t="s">
        <v>14</v>
      </c>
      <c r="S51" s="7" t="s">
        <v>15</v>
      </c>
      <c r="T51" s="6" t="s">
        <v>16</v>
      </c>
    </row>
    <row r="52" customFormat="false" ht="12.8" hidden="false" customHeight="false" outlineLevel="0" collapsed="false">
      <c r="B52" s="9" t="s">
        <v>72</v>
      </c>
      <c r="C52" s="10" t="s">
        <v>18</v>
      </c>
      <c r="D52" s="10" t="s">
        <v>75</v>
      </c>
      <c r="E52" s="46" t="n">
        <v>0.0565612175666431</v>
      </c>
      <c r="F52" s="46" t="n">
        <v>0.124852796843406</v>
      </c>
      <c r="G52" s="46" t="n">
        <v>0.181414014410049</v>
      </c>
      <c r="H52" s="46" t="n">
        <v>0.189513219279216</v>
      </c>
      <c r="I52" s="46" t="n">
        <v>0.321638801452018</v>
      </c>
      <c r="J52" s="46" t="n">
        <v>0.511152020731234</v>
      </c>
      <c r="K52" s="44"/>
      <c r="L52" s="14" t="s">
        <v>19</v>
      </c>
      <c r="M52" s="14" t="s">
        <v>20</v>
      </c>
      <c r="N52" s="15" t="s">
        <v>21</v>
      </c>
      <c r="O52" s="16"/>
      <c r="P52" s="15"/>
      <c r="Q52" s="49" t="n">
        <f aca="false">G52-G58</f>
        <v>0.00939476153431759</v>
      </c>
      <c r="R52" s="15" t="n">
        <f aca="false">G53-G59</f>
        <v>0.00941033525273899</v>
      </c>
      <c r="S52" s="15" t="n">
        <f aca="false">G54-G60</f>
        <v>0.008999373819638</v>
      </c>
      <c r="T52" s="17" t="n">
        <f aca="false">1-S52/R52</f>
        <v>0.0436712850353946</v>
      </c>
    </row>
    <row r="53" customFormat="false" ht="12.8" hidden="false" customHeight="false" outlineLevel="0" collapsed="false">
      <c r="B53" s="9" t="s">
        <v>68</v>
      </c>
      <c r="C53" s="10" t="s">
        <v>18</v>
      </c>
      <c r="D53" s="10" t="s">
        <v>66</v>
      </c>
      <c r="E53" s="46" t="n">
        <v>0.0579176462402963</v>
      </c>
      <c r="F53" s="46" t="n">
        <v>0.120770729364681</v>
      </c>
      <c r="G53" s="46" t="n">
        <v>0.178688375604977</v>
      </c>
      <c r="H53" s="46" t="n">
        <v>0.191729830190846</v>
      </c>
      <c r="I53" s="46" t="n">
        <v>0.318303966422946</v>
      </c>
      <c r="J53" s="46" t="n">
        <v>0.510033796613792</v>
      </c>
      <c r="K53" s="44"/>
      <c r="L53" s="14" t="s">
        <v>19</v>
      </c>
      <c r="M53" s="14" t="s">
        <v>58</v>
      </c>
      <c r="N53" s="15" t="s">
        <v>59</v>
      </c>
      <c r="O53" s="16"/>
      <c r="P53" s="15"/>
      <c r="Q53" s="49" t="n">
        <f aca="false">G52-G61</f>
        <v>0.0086132492547133</v>
      </c>
      <c r="R53" s="15" t="n">
        <f aca="false">G53-G62</f>
        <v>0.00861943309805999</v>
      </c>
      <c r="S53" s="15" t="n">
        <f aca="false">G54-G63</f>
        <v>0.00792508891426902</v>
      </c>
      <c r="T53" s="18" t="n">
        <f aca="false">1-S53/R53</f>
        <v>0.0805556671641488</v>
      </c>
    </row>
    <row r="54" customFormat="false" ht="12.8" hidden="false" customHeight="false" outlineLevel="0" collapsed="false">
      <c r="B54" s="9"/>
      <c r="C54" s="10" t="s">
        <v>18</v>
      </c>
      <c r="D54" s="10" t="s">
        <v>29</v>
      </c>
      <c r="E54" s="46" t="n">
        <v>0.0579682698610126</v>
      </c>
      <c r="F54" s="46" t="n">
        <v>0.12195209520096</v>
      </c>
      <c r="G54" s="46" t="n">
        <v>0.179920365061973</v>
      </c>
      <c r="H54" s="46" t="n">
        <v>0.192007810693036</v>
      </c>
      <c r="I54" s="46" t="n">
        <v>0.320274836025857</v>
      </c>
      <c r="J54" s="46" t="n">
        <v>0.512282646718893</v>
      </c>
      <c r="K54" s="44"/>
      <c r="L54" s="14" t="s">
        <v>62</v>
      </c>
      <c r="M54" s="14" t="s">
        <v>20</v>
      </c>
      <c r="N54" s="15" t="s">
        <v>26</v>
      </c>
      <c r="O54" s="16"/>
      <c r="P54" s="15"/>
      <c r="Q54" s="49" t="n">
        <f aca="false">G55-G58</f>
        <v>0.0132691497194533</v>
      </c>
      <c r="R54" s="15" t="n">
        <f aca="false">G56-G59</f>
        <v>0.013287313143822</v>
      </c>
      <c r="S54" s="15" t="n">
        <f aca="false">G57-G60</f>
        <v>0.012939731570031</v>
      </c>
      <c r="T54" s="17" t="n">
        <f aca="false">1-S54/R54</f>
        <v>0.0261589058697401</v>
      </c>
    </row>
    <row r="55" customFormat="false" ht="12.8" hidden="false" customHeight="false" outlineLevel="0" collapsed="false">
      <c r="B55" s="9"/>
      <c r="C55" s="22" t="s">
        <v>67</v>
      </c>
      <c r="D55" s="22" t="s">
        <v>22</v>
      </c>
      <c r="E55" s="47" t="n">
        <v>0.0566628481848988</v>
      </c>
      <c r="F55" s="47" t="n">
        <v>0.128625554410286</v>
      </c>
      <c r="G55" s="47" t="n">
        <v>0.185288402595185</v>
      </c>
      <c r="H55" s="47" t="n">
        <v>0.189855380869627</v>
      </c>
      <c r="I55" s="47" t="n">
        <v>0.331622073954729</v>
      </c>
      <c r="J55" s="47" t="n">
        <v>0.521477454824356</v>
      </c>
      <c r="K55" s="44"/>
      <c r="L55" s="14" t="s">
        <v>62</v>
      </c>
      <c r="M55" s="14" t="s">
        <v>58</v>
      </c>
      <c r="N55" s="15" t="s">
        <v>28</v>
      </c>
      <c r="O55" s="16"/>
      <c r="P55" s="15"/>
      <c r="Q55" s="49" t="n">
        <f aca="false">G55-G61</f>
        <v>0.012487637439849</v>
      </c>
      <c r="R55" s="15" t="n">
        <f aca="false">G56-G62</f>
        <v>0.012496410989143</v>
      </c>
      <c r="S55" s="15" t="n">
        <f aca="false">G57-G63</f>
        <v>0.011865446664662</v>
      </c>
      <c r="T55" s="17" t="n">
        <f aca="false">1-S55/R55</f>
        <v>0.0504916431629184</v>
      </c>
    </row>
    <row r="56" customFormat="false" ht="12.8" hidden="false" customHeight="false" outlineLevel="0" collapsed="false">
      <c r="B56" s="9"/>
      <c r="C56" s="22" t="s">
        <v>67</v>
      </c>
      <c r="D56" s="22" t="s">
        <v>66</v>
      </c>
      <c r="E56" s="47" t="n">
        <v>0.0580217696068689</v>
      </c>
      <c r="F56" s="47" t="n">
        <v>0.124543583889191</v>
      </c>
      <c r="G56" s="47" t="n">
        <v>0.18256535349606</v>
      </c>
      <c r="H56" s="47" t="n">
        <v>0.19208152267698</v>
      </c>
      <c r="I56" s="47" t="n">
        <v>0.328296633506589</v>
      </c>
      <c r="J56" s="47" t="n">
        <v>0.520378156183569</v>
      </c>
      <c r="K56" s="44"/>
      <c r="L56" s="20" t="s">
        <v>76</v>
      </c>
      <c r="M56" s="20"/>
      <c r="N56" s="20"/>
      <c r="O56" s="20"/>
      <c r="P56" s="21"/>
      <c r="Q56" s="21" t="n">
        <f aca="false">Q54/Q55-1</f>
        <v>0.0625828771349839</v>
      </c>
      <c r="R56" s="21" t="n">
        <f aca="false">R54/R55-1</f>
        <v>0.0632903443529622</v>
      </c>
      <c r="S56" s="21" t="n">
        <f aca="false">S54/S55-1</f>
        <v>0.0905389350885919</v>
      </c>
      <c r="T56" s="20"/>
    </row>
    <row r="57" customFormat="false" ht="12.8" hidden="false" customHeight="false" outlineLevel="0" collapsed="false">
      <c r="B57" s="9"/>
      <c r="C57" s="22" t="s">
        <v>67</v>
      </c>
      <c r="D57" s="22" t="s">
        <v>29</v>
      </c>
      <c r="E57" s="47" t="n">
        <v>0.0580719615886752</v>
      </c>
      <c r="F57" s="47" t="n">
        <v>0.125788761223691</v>
      </c>
      <c r="G57" s="47" t="n">
        <v>0.183860722812366</v>
      </c>
      <c r="H57" s="47" t="n">
        <v>0.192354251648174</v>
      </c>
      <c r="I57" s="47" t="n">
        <v>0.329553126224699</v>
      </c>
      <c r="J57" s="47" t="n">
        <v>0.521907377872873</v>
      </c>
      <c r="K57" s="44"/>
      <c r="L57" s="20" t="s">
        <v>77</v>
      </c>
      <c r="M57" s="20"/>
      <c r="N57" s="20"/>
      <c r="O57" s="20"/>
      <c r="P57" s="21"/>
      <c r="Q57" s="21" t="n">
        <f aca="false">1-Q52/Q55</f>
        <v>0.247675024233312</v>
      </c>
      <c r="R57" s="21" t="n">
        <f aca="false">1-R52/R55</f>
        <v>0.246956965410727</v>
      </c>
      <c r="S57" s="21" t="n">
        <f aca="false">1-S52/S55</f>
        <v>0.241547825886726</v>
      </c>
      <c r="T57" s="20"/>
    </row>
    <row r="58" customFormat="false" ht="12.8" hidden="false" customHeight="false" outlineLevel="0" collapsed="false">
      <c r="B58" s="9"/>
      <c r="C58" s="33" t="s">
        <v>42</v>
      </c>
      <c r="D58" s="33" t="s">
        <v>78</v>
      </c>
      <c r="E58" s="51" t="n">
        <v>0.0552311320126755</v>
      </c>
      <c r="F58" s="51" t="n">
        <v>0.116788120863056</v>
      </c>
      <c r="G58" s="51" t="n">
        <v>0.172019252875732</v>
      </c>
      <c r="H58" s="51"/>
      <c r="I58" s="51"/>
      <c r="J58" s="51"/>
      <c r="K58" s="44"/>
      <c r="L58" s="24" t="s">
        <v>64</v>
      </c>
      <c r="M58" s="24"/>
      <c r="N58" s="24"/>
      <c r="O58" s="24"/>
      <c r="P58" s="25"/>
      <c r="Q58" s="25" t="n">
        <f aca="false">1-Q53/Q55</f>
        <v>0.310257901368296</v>
      </c>
      <c r="R58" s="25" t="n">
        <f aca="false">1-R53/R55</f>
        <v>0.310247309763689</v>
      </c>
      <c r="S58" s="25" t="n">
        <f aca="false">1-S53/S55</f>
        <v>0.332086760975318</v>
      </c>
      <c r="T58" s="20"/>
    </row>
    <row r="59" customFormat="false" ht="12.8" hidden="false" customHeight="false" outlineLevel="0" collapsed="false">
      <c r="B59" s="9"/>
      <c r="C59" s="33" t="s">
        <v>42</v>
      </c>
      <c r="D59" s="33" t="s">
        <v>66</v>
      </c>
      <c r="E59" s="51" t="n">
        <v>0.0565497176768415</v>
      </c>
      <c r="F59" s="51" t="n">
        <v>0.112728322675397</v>
      </c>
      <c r="G59" s="51" t="n">
        <v>0.169278040352238</v>
      </c>
      <c r="H59" s="51"/>
      <c r="I59" s="51"/>
      <c r="J59" s="51"/>
      <c r="K59" s="44"/>
    </row>
    <row r="60" customFormat="false" ht="12.8" hidden="false" customHeight="false" outlineLevel="0" collapsed="false">
      <c r="B60" s="9"/>
      <c r="C60" s="33" t="s">
        <v>42</v>
      </c>
      <c r="D60" s="33" t="s">
        <v>29</v>
      </c>
      <c r="E60" s="51" t="n">
        <v>0.0565957658620102</v>
      </c>
      <c r="F60" s="51" t="n">
        <v>0.114325225380325</v>
      </c>
      <c r="G60" s="51" t="n">
        <v>0.170920991242335</v>
      </c>
      <c r="H60" s="51"/>
      <c r="I60" s="51"/>
      <c r="J60" s="51"/>
      <c r="K60" s="44"/>
    </row>
    <row r="61" customFormat="false" ht="12.8" hidden="false" customHeight="false" outlineLevel="0" collapsed="false">
      <c r="B61" s="9"/>
      <c r="C61" s="37" t="s">
        <v>71</v>
      </c>
      <c r="D61" s="37" t="s">
        <v>22</v>
      </c>
      <c r="E61" s="48" t="n">
        <v>0.0552451897173158</v>
      </c>
      <c r="F61" s="48" t="n">
        <v>0.11755557543802</v>
      </c>
      <c r="G61" s="48" t="n">
        <v>0.172800765155336</v>
      </c>
      <c r="H61" s="48" t="n">
        <v>0.1850849848029</v>
      </c>
      <c r="I61" s="48" t="n">
        <v>0.300573850142905</v>
      </c>
      <c r="J61" s="48" t="n">
        <v>0.485658834945805</v>
      </c>
      <c r="K61" s="44"/>
    </row>
    <row r="62" customFormat="false" ht="12.8" hidden="false" customHeight="false" outlineLevel="0" collapsed="false">
      <c r="B62" s="9"/>
      <c r="C62" s="37" t="s">
        <v>71</v>
      </c>
      <c r="D62" s="37" t="s">
        <v>66</v>
      </c>
      <c r="E62" s="48" t="n">
        <v>0.0565707139359414</v>
      </c>
      <c r="F62" s="48" t="n">
        <v>0.113498228570976</v>
      </c>
      <c r="G62" s="48" t="n">
        <v>0.170068942506917</v>
      </c>
      <c r="H62" s="48" t="n">
        <v>0.187246056930166</v>
      </c>
      <c r="I62" s="48" t="n">
        <v>0.29695032159865</v>
      </c>
      <c r="J62" s="48" t="n">
        <v>0.484196378528816</v>
      </c>
      <c r="K62" s="44"/>
      <c r="L62" s="44"/>
      <c r="M62" s="44"/>
      <c r="N62" s="44"/>
      <c r="O62" s="44"/>
      <c r="Q62" s="44"/>
      <c r="R62" s="44"/>
    </row>
    <row r="63" customFormat="false" ht="12.8" hidden="false" customHeight="false" outlineLevel="0" collapsed="false">
      <c r="B63" s="9"/>
      <c r="C63" s="37" t="s">
        <v>71</v>
      </c>
      <c r="D63" s="37" t="s">
        <v>29</v>
      </c>
      <c r="E63" s="48" t="n">
        <v>0.0566173089884526</v>
      </c>
      <c r="F63" s="48" t="n">
        <v>0.115377967159251</v>
      </c>
      <c r="G63" s="48" t="n">
        <v>0.171995276147704</v>
      </c>
      <c r="H63" s="48" t="n">
        <v>0.18794033601992</v>
      </c>
      <c r="I63" s="48" t="n">
        <v>0.302299803624516</v>
      </c>
      <c r="J63" s="48" t="n">
        <v>0.490240139644436</v>
      </c>
      <c r="K63" s="44"/>
      <c r="L63" s="44"/>
      <c r="M63" s="44"/>
      <c r="N63" s="44"/>
      <c r="O63" s="44"/>
      <c r="Q63" s="44"/>
      <c r="R63" s="44"/>
    </row>
    <row r="64" customFormat="false" ht="12.8" hidden="false" customHeight="false" outlineLevel="0" collapsed="false">
      <c r="K64" s="44"/>
      <c r="L64" s="44"/>
      <c r="M64" s="44"/>
      <c r="N64" s="44"/>
      <c r="O64" s="44"/>
      <c r="Q64" s="44"/>
      <c r="R64" s="44"/>
    </row>
    <row r="65" customFormat="false" ht="12.8" hidden="false" customHeight="false" outlineLevel="0" collapsed="false">
      <c r="B65" s="52"/>
      <c r="C65" s="52"/>
      <c r="D65" s="53" t="s">
        <v>79</v>
      </c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2"/>
      <c r="Q65" s="53" t="s">
        <v>80</v>
      </c>
      <c r="R65" s="53"/>
      <c r="S65" s="52"/>
      <c r="T65" s="52"/>
      <c r="U65" s="52"/>
    </row>
    <row r="66" customFormat="false" ht="12.8" hidden="false" customHeight="false" outlineLevel="0" collapsed="false">
      <c r="B66" s="52"/>
      <c r="C66" s="52"/>
      <c r="D66" s="54" t="n">
        <v>0.0833333333333333</v>
      </c>
      <c r="E66" s="54" t="n">
        <f aca="false">D66+1/12</f>
        <v>0.166666666666667</v>
      </c>
      <c r="F66" s="54" t="n">
        <f aca="false">E66+1/12</f>
        <v>0.25</v>
      </c>
      <c r="G66" s="54" t="n">
        <f aca="false">F66+1/12</f>
        <v>0.333333333333333</v>
      </c>
      <c r="H66" s="54" t="n">
        <f aca="false">G66+1/12</f>
        <v>0.416666666666667</v>
      </c>
      <c r="I66" s="54" t="n">
        <f aca="false">H66+1/12</f>
        <v>0.5</v>
      </c>
      <c r="J66" s="54" t="n">
        <f aca="false">I66+1/12</f>
        <v>0.583333333333333</v>
      </c>
      <c r="K66" s="54" t="n">
        <f aca="false">J66+1/12</f>
        <v>0.666666666666667</v>
      </c>
      <c r="L66" s="54" t="n">
        <f aca="false">K66+1/12</f>
        <v>0.75</v>
      </c>
      <c r="M66" s="54" t="n">
        <f aca="false">L66+1/12</f>
        <v>0.833333333333333</v>
      </c>
      <c r="N66" s="54" t="n">
        <f aca="false">M66+1/12</f>
        <v>0.916666666666667</v>
      </c>
      <c r="O66" s="54" t="n">
        <f aca="false">N66+1/12</f>
        <v>1</v>
      </c>
      <c r="P66" s="55" t="s">
        <v>81</v>
      </c>
      <c r="Q66" s="54" t="n">
        <f aca="false">L66+1/24</f>
        <v>0.791666666666667</v>
      </c>
      <c r="R66" s="54" t="n">
        <f aca="false">Q66+1/24</f>
        <v>0.833333333333333</v>
      </c>
      <c r="S66" s="56" t="s">
        <v>82</v>
      </c>
      <c r="T66" s="57" t="s">
        <v>83</v>
      </c>
      <c r="U66" s="57" t="s">
        <v>84</v>
      </c>
    </row>
    <row r="67" customFormat="false" ht="12.8" hidden="false" customHeight="false" outlineLevel="0" collapsed="false">
      <c r="B67" s="58" t="s">
        <v>85</v>
      </c>
      <c r="C67" s="59"/>
      <c r="D67" s="60" t="n">
        <v>100</v>
      </c>
      <c r="E67" s="60" t="n">
        <v>100</v>
      </c>
      <c r="F67" s="60" t="n">
        <v>100</v>
      </c>
      <c r="G67" s="60" t="n">
        <v>100</v>
      </c>
      <c r="H67" s="60" t="n">
        <v>100</v>
      </c>
      <c r="I67" s="60" t="n">
        <v>100</v>
      </c>
      <c r="J67" s="60" t="n">
        <v>100</v>
      </c>
      <c r="K67" s="60" t="n">
        <v>100</v>
      </c>
      <c r="L67" s="60" t="n">
        <v>100</v>
      </c>
      <c r="M67" s="60" t="n">
        <v>100</v>
      </c>
      <c r="N67" s="60" t="n">
        <v>100</v>
      </c>
      <c r="O67" s="60" t="n">
        <v>100</v>
      </c>
      <c r="P67" s="61" t="n">
        <v>0</v>
      </c>
      <c r="Q67" s="60" t="n">
        <f aca="false">M67-R67</f>
        <v>60</v>
      </c>
      <c r="R67" s="60" t="n">
        <f aca="false">M67/2.5</f>
        <v>40</v>
      </c>
      <c r="S67" s="58" t="n">
        <f aca="false">SUM(D67:O67)</f>
        <v>1200</v>
      </c>
      <c r="T67" s="62" t="n">
        <f aca="false">SUM(G67:L67,Q67)/S67</f>
        <v>0.55</v>
      </c>
      <c r="U67" s="62" t="n">
        <f aca="false">SUM(D67:F67,N67:O67,R67)/S67</f>
        <v>0.45</v>
      </c>
    </row>
    <row r="68" customFormat="false" ht="12.8" hidden="false" customHeight="false" outlineLevel="0" collapsed="false">
      <c r="B68" s="58" t="s">
        <v>86</v>
      </c>
      <c r="C68" s="59"/>
      <c r="D68" s="60" t="n">
        <v>73</v>
      </c>
      <c r="E68" s="60" t="n">
        <v>69</v>
      </c>
      <c r="F68" s="60" t="n">
        <v>68</v>
      </c>
      <c r="G68" s="60" t="n">
        <v>100</v>
      </c>
      <c r="H68" s="60" t="n">
        <v>129</v>
      </c>
      <c r="I68" s="60" t="n">
        <v>131</v>
      </c>
      <c r="J68" s="60" t="n">
        <v>124</v>
      </c>
      <c r="K68" s="60" t="n">
        <v>121</v>
      </c>
      <c r="L68" s="60" t="n">
        <v>109</v>
      </c>
      <c r="M68" s="60" t="n">
        <v>97</v>
      </c>
      <c r="N68" s="60" t="n">
        <v>93</v>
      </c>
      <c r="O68" s="60" t="n">
        <v>86</v>
      </c>
      <c r="P68" s="61" t="n">
        <v>1</v>
      </c>
      <c r="Q68" s="60" t="n">
        <f aca="false">M68-R68</f>
        <v>58.2</v>
      </c>
      <c r="R68" s="60" t="n">
        <f aca="false">M68/2.5</f>
        <v>38.8</v>
      </c>
      <c r="S68" s="58" t="n">
        <f aca="false">SUM(D68:O68)</f>
        <v>1200</v>
      </c>
      <c r="T68" s="62" t="n">
        <f aca="false">SUM(G68:L68,Q68)/S68</f>
        <v>0.6435</v>
      </c>
      <c r="U68" s="62" t="n">
        <f aca="false">SUM(D68:F68,N68:O68,R68)/S68</f>
        <v>0.3565</v>
      </c>
    </row>
    <row r="69" customFormat="false" ht="12.8" hidden="false" customHeight="false" outlineLevel="0" collapsed="false">
      <c r="B69" s="58" t="s">
        <v>87</v>
      </c>
      <c r="C69" s="59"/>
      <c r="D69" s="60" t="n">
        <v>33</v>
      </c>
      <c r="E69" s="60" t="n">
        <v>33</v>
      </c>
      <c r="F69" s="60" t="n">
        <v>35</v>
      </c>
      <c r="G69" s="60" t="n">
        <v>80</v>
      </c>
      <c r="H69" s="60" t="n">
        <v>150</v>
      </c>
      <c r="I69" s="60" t="n">
        <v>155</v>
      </c>
      <c r="J69" s="60" t="n">
        <v>120</v>
      </c>
      <c r="K69" s="60" t="n">
        <v>116</v>
      </c>
      <c r="L69" s="60" t="n">
        <v>122</v>
      </c>
      <c r="M69" s="60" t="n">
        <v>135</v>
      </c>
      <c r="N69" s="60" t="n">
        <v>145</v>
      </c>
      <c r="O69" s="60" t="n">
        <v>77</v>
      </c>
      <c r="P69" s="61" t="n">
        <v>2</v>
      </c>
      <c r="Q69" s="60" t="n">
        <f aca="false">M69-R69</f>
        <v>81</v>
      </c>
      <c r="R69" s="60" t="n">
        <f aca="false">M69/2.5</f>
        <v>54</v>
      </c>
      <c r="S69" s="58" t="n">
        <f aca="false">SUM(D69:O69)</f>
        <v>1201</v>
      </c>
      <c r="T69" s="62" t="n">
        <f aca="false">SUM(G69:L69,Q69)/S69</f>
        <v>0.686094920899251</v>
      </c>
      <c r="U69" s="62" t="n">
        <f aca="false">SUM(D69:F69,N69:O69,R69)/S69</f>
        <v>0.313905079100749</v>
      </c>
    </row>
    <row r="70" customFormat="false" ht="12.8" hidden="false" customHeight="false" outlineLevel="0" collapsed="false">
      <c r="B70" s="58" t="s">
        <v>88</v>
      </c>
      <c r="C70" s="59"/>
      <c r="D70" s="60" t="n">
        <v>24</v>
      </c>
      <c r="E70" s="60" t="n">
        <v>16</v>
      </c>
      <c r="F70" s="60" t="n">
        <v>23</v>
      </c>
      <c r="G70" s="60" t="n">
        <v>150</v>
      </c>
      <c r="H70" s="60" t="n">
        <v>175</v>
      </c>
      <c r="I70" s="60" t="n">
        <v>121</v>
      </c>
      <c r="J70" s="60" t="n">
        <v>127</v>
      </c>
      <c r="K70" s="60" t="n">
        <v>154</v>
      </c>
      <c r="L70" s="60" t="n">
        <v>190</v>
      </c>
      <c r="M70" s="60" t="n">
        <v>112</v>
      </c>
      <c r="N70" s="60" t="n">
        <v>60</v>
      </c>
      <c r="O70" s="60" t="n">
        <v>48</v>
      </c>
      <c r="P70" s="61" t="n">
        <v>3</v>
      </c>
      <c r="Q70" s="60" t="n">
        <f aca="false">M70-R70</f>
        <v>67.2</v>
      </c>
      <c r="R70" s="60" t="n">
        <f aca="false">M70/2.5</f>
        <v>44.8</v>
      </c>
      <c r="S70" s="58" t="n">
        <f aca="false">SUM(D70:O70)</f>
        <v>1200</v>
      </c>
      <c r="T70" s="62" t="n">
        <f aca="false">SUM(G70:L70,Q70)/S70</f>
        <v>0.820166666666667</v>
      </c>
      <c r="U70" s="62" t="n">
        <f aca="false">SUM(D70:F70,N70:O70,R70)/S70</f>
        <v>0.179833333333333</v>
      </c>
    </row>
    <row r="71" customFormat="false" ht="12.8" hidden="false" customHeight="false" outlineLevel="0" collapsed="false">
      <c r="B71" s="58" t="s">
        <v>89</v>
      </c>
      <c r="C71" s="59"/>
      <c r="D71" s="63" t="n">
        <v>8</v>
      </c>
      <c r="E71" s="63" t="n">
        <v>5</v>
      </c>
      <c r="F71" s="63" t="n">
        <v>43</v>
      </c>
      <c r="G71" s="37" t="n">
        <v>157</v>
      </c>
      <c r="H71" s="37" t="n">
        <v>141</v>
      </c>
      <c r="I71" s="37" t="n">
        <v>126</v>
      </c>
      <c r="J71" s="37" t="n">
        <v>143</v>
      </c>
      <c r="K71" s="37" t="n">
        <v>172</v>
      </c>
      <c r="L71" s="37" t="n">
        <v>190</v>
      </c>
      <c r="M71" s="60" t="n">
        <v>113</v>
      </c>
      <c r="N71" s="63" t="n">
        <v>67</v>
      </c>
      <c r="O71" s="63" t="n">
        <v>35</v>
      </c>
      <c r="P71" s="61" t="n">
        <v>31</v>
      </c>
      <c r="Q71" s="37" t="n">
        <f aca="false">M71-R71</f>
        <v>67.8</v>
      </c>
      <c r="R71" s="63" t="n">
        <f aca="false">M71/2.5</f>
        <v>45.2</v>
      </c>
      <c r="S71" s="58" t="n">
        <f aca="false">SUM(D71:O71)</f>
        <v>1200</v>
      </c>
      <c r="T71" s="62" t="n">
        <f aca="false">SUM(G71:L71,Q71)/S71</f>
        <v>0.830666666666667</v>
      </c>
      <c r="U71" s="62" t="n">
        <f aca="false">SUM(D71:F71,N71:O71,R71)/S71</f>
        <v>0.169333333333333</v>
      </c>
    </row>
    <row r="72" customFormat="false" ht="12.8" hidden="false" customHeight="false" outlineLevel="0" collapsed="false">
      <c r="B72" s="58" t="s">
        <v>90</v>
      </c>
      <c r="C72" s="59"/>
      <c r="D72" s="60" t="n">
        <v>12</v>
      </c>
      <c r="E72" s="60" t="n">
        <v>17</v>
      </c>
      <c r="F72" s="60" t="n">
        <v>82</v>
      </c>
      <c r="G72" s="60" t="n">
        <v>158</v>
      </c>
      <c r="H72" s="60" t="n">
        <v>161</v>
      </c>
      <c r="I72" s="60" t="n">
        <v>163</v>
      </c>
      <c r="J72" s="60" t="n">
        <v>167</v>
      </c>
      <c r="K72" s="60" t="n">
        <v>175</v>
      </c>
      <c r="L72" s="60" t="n">
        <v>131</v>
      </c>
      <c r="M72" s="60" t="n">
        <v>73</v>
      </c>
      <c r="N72" s="60" t="n">
        <v>41</v>
      </c>
      <c r="O72" s="60" t="n">
        <v>22</v>
      </c>
      <c r="P72" s="61" t="n">
        <v>32</v>
      </c>
      <c r="Q72" s="60" t="n">
        <f aca="false">M72-R72</f>
        <v>43.8</v>
      </c>
      <c r="R72" s="60" t="n">
        <f aca="false">M72/2.5</f>
        <v>29.2</v>
      </c>
      <c r="S72" s="58" t="n">
        <f aca="false">SUM(D72:O72)</f>
        <v>1202</v>
      </c>
      <c r="T72" s="62" t="n">
        <f aca="false">SUM(G72:L72,Q72)/S72</f>
        <v>0.830948419301165</v>
      </c>
      <c r="U72" s="62" t="n">
        <f aca="false">SUM(D72:F72,N72:O72,R72)/S72</f>
        <v>0.169051580698835</v>
      </c>
    </row>
    <row r="73" customFormat="false" ht="12.8" hidden="false" customHeight="false" outlineLevel="0" collapsed="false">
      <c r="B73" s="58" t="s">
        <v>91</v>
      </c>
      <c r="C73" s="59"/>
      <c r="D73" s="60" t="n">
        <v>3</v>
      </c>
      <c r="E73" s="60" t="n">
        <v>1</v>
      </c>
      <c r="F73" s="60" t="n">
        <v>54</v>
      </c>
      <c r="G73" s="60" t="n">
        <v>184</v>
      </c>
      <c r="H73" s="60" t="n">
        <v>149</v>
      </c>
      <c r="I73" s="60" t="n">
        <v>137</v>
      </c>
      <c r="J73" s="60" t="n">
        <v>149</v>
      </c>
      <c r="K73" s="60" t="n">
        <v>174</v>
      </c>
      <c r="L73" s="60" t="n">
        <v>165</v>
      </c>
      <c r="M73" s="60" t="n">
        <v>89</v>
      </c>
      <c r="N73" s="60" t="n">
        <v>69</v>
      </c>
      <c r="O73" s="60" t="n">
        <v>26</v>
      </c>
      <c r="P73" s="61" t="n">
        <v>33</v>
      </c>
      <c r="Q73" s="60" t="n">
        <f aca="false">M73-R73</f>
        <v>53.4</v>
      </c>
      <c r="R73" s="60" t="n">
        <f aca="false">M73/2.5</f>
        <v>35.6</v>
      </c>
      <c r="S73" s="58" t="n">
        <f aca="false">SUM(D73:O73)</f>
        <v>1200</v>
      </c>
      <c r="T73" s="62" t="n">
        <f aca="false">SUM(G73:L73,Q73)/S73</f>
        <v>0.842833333333333</v>
      </c>
      <c r="U73" s="62" t="n">
        <f aca="false">SUM(D73:F73,N73:O73,R73)/S73</f>
        <v>0.157166666666667</v>
      </c>
    </row>
    <row r="74" customFormat="false" ht="12.8" hidden="false" customHeight="false" outlineLevel="0" collapsed="false">
      <c r="B74" s="58" t="s">
        <v>92</v>
      </c>
      <c r="C74" s="59"/>
      <c r="D74" s="60" t="n">
        <v>33</v>
      </c>
      <c r="E74" s="60" t="n">
        <v>33</v>
      </c>
      <c r="F74" s="60" t="n">
        <v>35</v>
      </c>
      <c r="G74" s="60" t="n">
        <v>80</v>
      </c>
      <c r="H74" s="60" t="n">
        <v>150</v>
      </c>
      <c r="I74" s="60" t="n">
        <v>155</v>
      </c>
      <c r="J74" s="60" t="n">
        <v>120</v>
      </c>
      <c r="K74" s="60" t="n">
        <v>116</v>
      </c>
      <c r="L74" s="60" t="n">
        <v>122</v>
      </c>
      <c r="M74" s="60" t="n">
        <v>135</v>
      </c>
      <c r="N74" s="60" t="n">
        <v>145</v>
      </c>
      <c r="O74" s="60" t="n">
        <v>77</v>
      </c>
      <c r="P74" s="61" t="n">
        <v>7</v>
      </c>
      <c r="Q74" s="60" t="n">
        <f aca="false">M74-R74</f>
        <v>81</v>
      </c>
      <c r="R74" s="60" t="n">
        <f aca="false">M74/2.5</f>
        <v>54</v>
      </c>
      <c r="S74" s="58" t="n">
        <f aca="false">SUM(D74:O74)</f>
        <v>1201</v>
      </c>
      <c r="T74" s="62" t="n">
        <f aca="false">SUM(G74:L74,Q74)/S74</f>
        <v>0.686094920899251</v>
      </c>
      <c r="U74" s="62" t="n">
        <f aca="false">SUM(D74:F74,N74:O74,R74)/S74</f>
        <v>0.313905079100749</v>
      </c>
    </row>
    <row r="75" customFormat="false" ht="12.8" hidden="false" customHeight="false" outlineLevel="0" collapsed="false">
      <c r="B75" s="57" t="s">
        <v>93</v>
      </c>
      <c r="C75" s="52"/>
      <c r="D75" s="64"/>
      <c r="E75" s="64"/>
      <c r="F75" s="64"/>
      <c r="G75" s="65" t="n">
        <f aca="false">G71/$S$75</f>
        <v>0.157504012841092</v>
      </c>
      <c r="H75" s="65" t="n">
        <f aca="false">H71/$S$75</f>
        <v>0.14145264847512</v>
      </c>
      <c r="I75" s="65" t="n">
        <f aca="false">I71/$S$75</f>
        <v>0.126404494382022</v>
      </c>
      <c r="J75" s="65" t="n">
        <f aca="false">J71/$S$75</f>
        <v>0.143459069020867</v>
      </c>
      <c r="K75" s="65" t="n">
        <f aca="false">K71/$S$75</f>
        <v>0.172552166934189</v>
      </c>
      <c r="L75" s="65" t="n">
        <f aca="false">L71/$S$75</f>
        <v>0.190609951845907</v>
      </c>
      <c r="M75" s="65" t="n">
        <f aca="false">Q71/$S$75</f>
        <v>0.0680176565008026</v>
      </c>
      <c r="N75" s="64"/>
      <c r="O75" s="64"/>
      <c r="P75" s="52"/>
      <c r="Q75" s="52"/>
      <c r="R75" s="64"/>
      <c r="S75" s="52" t="n">
        <f aca="false">SUM(G71:L71,Q71)</f>
        <v>996.8</v>
      </c>
      <c r="T75" s="52"/>
      <c r="U75" s="52"/>
    </row>
    <row r="76" customFormat="false" ht="12.8" hidden="false" customHeight="false" outlineLevel="0" collapsed="false">
      <c r="B76" s="57" t="s">
        <v>94</v>
      </c>
      <c r="C76" s="52"/>
      <c r="D76" s="65" t="n">
        <f aca="false">D71/$S$76</f>
        <v>0.0393700787401575</v>
      </c>
      <c r="E76" s="65" t="n">
        <f aca="false">E71/$S$76</f>
        <v>0.0246062992125984</v>
      </c>
      <c r="F76" s="65" t="n">
        <f aca="false">F71/$S$76</f>
        <v>0.211614173228346</v>
      </c>
      <c r="G76" s="65"/>
      <c r="H76" s="65"/>
      <c r="I76" s="65"/>
      <c r="J76" s="65"/>
      <c r="K76" s="65"/>
      <c r="L76" s="65"/>
      <c r="M76" s="65" t="n">
        <f aca="false">R71/$S$76</f>
        <v>0.22244094488189</v>
      </c>
      <c r="N76" s="65" t="n">
        <f aca="false">N71/$S$76</f>
        <v>0.329724409448819</v>
      </c>
      <c r="O76" s="65" t="n">
        <f aca="false">O71/$S$76</f>
        <v>0.172244094488189</v>
      </c>
      <c r="P76" s="52"/>
      <c r="Q76" s="64"/>
      <c r="R76" s="52"/>
      <c r="S76" s="52" t="n">
        <f aca="false">SUM(D71:F71,N71:O71,R71)</f>
        <v>203.2</v>
      </c>
      <c r="T76" s="52"/>
      <c r="U76" s="52"/>
    </row>
    <row r="106" customFormat="false" ht="12.8" hidden="false" customHeight="false" outlineLevel="0" collapsed="false">
      <c r="C106" s="66"/>
      <c r="D106" s="66"/>
      <c r="E106" s="66"/>
      <c r="F106" s="66"/>
      <c r="G106" s="66"/>
      <c r="H106" s="66"/>
      <c r="I106" s="66"/>
      <c r="J106" s="66"/>
      <c r="K106" s="66"/>
      <c r="L106" s="66"/>
    </row>
    <row r="107" customFormat="false" ht="12.8" hidden="false" customHeight="false" outlineLevel="0" collapsed="false">
      <c r="E107" s="67"/>
      <c r="F107" s="67"/>
      <c r="G107" s="66"/>
      <c r="H107" s="66"/>
      <c r="I107" s="66"/>
      <c r="J107" s="66"/>
      <c r="K107" s="66"/>
      <c r="L107" s="66"/>
      <c r="M107" s="68"/>
      <c r="N107" s="68"/>
      <c r="O107" s="68"/>
      <c r="P107" s="2"/>
      <c r="Q107" s="2"/>
      <c r="S107" s="68"/>
      <c r="T107" s="69"/>
      <c r="V107" s="67"/>
    </row>
    <row r="108" customFormat="false" ht="12.8" hidden="false" customHeight="false" outlineLevel="0" collapsed="false">
      <c r="E108" s="67"/>
      <c r="F108" s="67"/>
      <c r="G108" s="66"/>
      <c r="H108" s="66"/>
      <c r="I108" s="66"/>
      <c r="J108" s="66"/>
      <c r="K108" s="66"/>
      <c r="L108" s="66"/>
      <c r="M108" s="68"/>
      <c r="N108" s="68"/>
      <c r="O108" s="68"/>
      <c r="P108" s="2"/>
      <c r="Q108" s="2"/>
      <c r="S108" s="68"/>
      <c r="T108" s="69"/>
      <c r="V108" s="67"/>
    </row>
    <row r="109" customFormat="false" ht="12.8" hidden="false" customHeight="false" outlineLevel="0" collapsed="false">
      <c r="E109" s="67"/>
      <c r="F109" s="67"/>
      <c r="G109" s="66"/>
      <c r="H109" s="66"/>
      <c r="I109" s="66"/>
      <c r="J109" s="66"/>
      <c r="L109" s="66"/>
      <c r="M109" s="68"/>
      <c r="N109" s="68"/>
      <c r="O109" s="68"/>
      <c r="P109" s="2"/>
      <c r="Q109" s="2"/>
      <c r="S109" s="68"/>
      <c r="T109" s="69"/>
      <c r="V109" s="67"/>
    </row>
    <row r="110" customFormat="false" ht="12.8" hidden="false" customHeight="false" outlineLevel="0" collapsed="false">
      <c r="G110" s="66"/>
      <c r="H110" s="66"/>
      <c r="I110" s="66"/>
      <c r="J110" s="66"/>
      <c r="K110" s="66"/>
      <c r="L110" s="66"/>
      <c r="M110" s="68"/>
      <c r="N110" s="68"/>
      <c r="O110" s="68"/>
      <c r="P110" s="2"/>
      <c r="Q110" s="2"/>
      <c r="S110" s="68"/>
      <c r="T110" s="69"/>
      <c r="V110" s="67"/>
    </row>
    <row r="111" customFormat="false" ht="12.8" hidden="false" customHeight="false" outlineLevel="0" collapsed="false">
      <c r="E111" s="67"/>
      <c r="F111" s="67"/>
      <c r="G111" s="66"/>
      <c r="H111" s="66"/>
      <c r="I111" s="66"/>
      <c r="J111" s="66"/>
      <c r="L111" s="66"/>
      <c r="M111" s="68"/>
      <c r="N111" s="68"/>
      <c r="O111" s="68"/>
      <c r="P111" s="2"/>
      <c r="Q111" s="2"/>
      <c r="S111" s="68"/>
      <c r="T111" s="69"/>
      <c r="V111" s="67"/>
    </row>
    <row r="112" customFormat="false" ht="12.8" hidden="false" customHeight="false" outlineLevel="0" collapsed="false">
      <c r="E112" s="67"/>
      <c r="F112" s="67"/>
      <c r="G112" s="66"/>
      <c r="H112" s="66"/>
      <c r="I112" s="66"/>
      <c r="J112" s="66"/>
      <c r="K112" s="66"/>
      <c r="L112" s="66"/>
      <c r="M112" s="68"/>
      <c r="N112" s="68"/>
      <c r="O112" s="68"/>
      <c r="P112" s="2"/>
      <c r="Q112" s="2"/>
      <c r="S112" s="68"/>
      <c r="T112" s="69"/>
      <c r="V112" s="67"/>
    </row>
    <row r="113" customFormat="false" ht="12.8" hidden="false" customHeight="false" outlineLevel="0" collapsed="false">
      <c r="E113" s="67"/>
      <c r="F113" s="67"/>
      <c r="G113" s="66"/>
      <c r="H113" s="66"/>
      <c r="I113" s="66"/>
      <c r="J113" s="66"/>
      <c r="K113" s="66"/>
    </row>
    <row r="114" customFormat="false" ht="12.8" hidden="false" customHeight="false" outlineLevel="0" collapsed="false">
      <c r="E114" s="67"/>
      <c r="F114" s="67"/>
      <c r="G114" s="66"/>
      <c r="H114" s="66"/>
      <c r="I114" s="70"/>
      <c r="J114" s="70"/>
      <c r="M114" s="68"/>
      <c r="N114" s="68"/>
      <c r="O114" s="68"/>
      <c r="P114" s="2"/>
      <c r="Q114" s="2"/>
      <c r="S114" s="68"/>
      <c r="T114" s="69"/>
      <c r="V114" s="67"/>
    </row>
    <row r="115" customFormat="false" ht="12.8" hidden="false" customHeight="false" outlineLevel="0" collapsed="false">
      <c r="M115" s="68"/>
      <c r="N115" s="68"/>
      <c r="O115" s="68"/>
      <c r="P115" s="2"/>
      <c r="Q115" s="2"/>
      <c r="S115" s="68"/>
      <c r="T115" s="69"/>
      <c r="V115" s="67"/>
    </row>
    <row r="116" customFormat="false" ht="12.8" hidden="false" customHeight="false" outlineLevel="0" collapsed="false">
      <c r="M116" s="68"/>
      <c r="N116" s="68"/>
      <c r="O116" s="68"/>
      <c r="P116" s="2"/>
      <c r="Q116" s="2"/>
      <c r="S116" s="68"/>
      <c r="T116" s="69"/>
      <c r="V116" s="67"/>
    </row>
    <row r="117" customFormat="false" ht="12.8" hidden="false" customHeight="false" outlineLevel="0" collapsed="false">
      <c r="H117" s="71"/>
    </row>
    <row r="118" customFormat="false" ht="12.8" hidden="false" customHeight="false" outlineLevel="0" collapsed="false">
      <c r="H118" s="71"/>
      <c r="M118" s="68"/>
      <c r="N118" s="68"/>
      <c r="O118" s="68"/>
      <c r="Q118" s="2"/>
      <c r="S118" s="68"/>
      <c r="T118" s="69"/>
      <c r="V118" s="67"/>
    </row>
    <row r="119" customFormat="false" ht="12.8" hidden="false" customHeight="false" outlineLevel="0" collapsed="false">
      <c r="H119" s="71"/>
      <c r="I119" s="66"/>
      <c r="J119" s="66"/>
      <c r="K119" s="66"/>
      <c r="M119" s="68"/>
      <c r="N119" s="68"/>
      <c r="O119" s="68"/>
      <c r="Q119" s="2"/>
      <c r="S119" s="68"/>
      <c r="T119" s="69"/>
      <c r="V119" s="67"/>
    </row>
    <row r="120" customFormat="false" ht="12.8" hidden="false" customHeight="false" outlineLevel="0" collapsed="false">
      <c r="H120" s="71"/>
      <c r="M120" s="68"/>
      <c r="N120" s="68"/>
      <c r="O120" s="68"/>
      <c r="Q120" s="2"/>
      <c r="S120" s="68"/>
      <c r="T120" s="69"/>
      <c r="V120" s="67"/>
    </row>
    <row r="121" customFormat="false" ht="12.8" hidden="false" customHeight="false" outlineLevel="0" collapsed="false">
      <c r="H121" s="71"/>
      <c r="M121" s="68"/>
      <c r="N121" s="68"/>
      <c r="O121" s="68"/>
      <c r="Q121" s="2"/>
      <c r="S121" s="68"/>
      <c r="T121" s="69"/>
      <c r="V121" s="67"/>
    </row>
    <row r="122" customFormat="false" ht="12.8" hidden="false" customHeight="false" outlineLevel="0" collapsed="false">
      <c r="H122" s="71"/>
    </row>
    <row r="123" customFormat="false" ht="12.8" hidden="false" customHeight="false" outlineLevel="0" collapsed="false">
      <c r="K123" s="68"/>
      <c r="M123" s="68"/>
      <c r="N123" s="68"/>
      <c r="O123" s="68"/>
      <c r="Q123" s="2"/>
      <c r="S123" s="68"/>
      <c r="T123" s="69"/>
      <c r="V123" s="67"/>
    </row>
    <row r="124" customFormat="false" ht="12.8" hidden="false" customHeight="false" outlineLevel="0" collapsed="false">
      <c r="K124" s="68"/>
      <c r="M124" s="68"/>
      <c r="N124" s="68"/>
      <c r="O124" s="68"/>
      <c r="Q124" s="2"/>
      <c r="S124" s="68"/>
      <c r="T124" s="69"/>
      <c r="V124" s="67"/>
    </row>
    <row r="125" customFormat="false" ht="12.8" hidden="false" customHeight="false" outlineLevel="0" collapsed="false">
      <c r="K125" s="68"/>
      <c r="M125" s="68"/>
      <c r="N125" s="68"/>
      <c r="O125" s="68"/>
      <c r="Q125" s="2"/>
      <c r="S125" s="68"/>
      <c r="T125" s="69"/>
      <c r="V125" s="67"/>
    </row>
    <row r="127" customFormat="false" ht="12.8" hidden="false" customHeight="false" outlineLevel="0" collapsed="false">
      <c r="M127" s="68"/>
      <c r="N127" s="68"/>
      <c r="O127" s="68"/>
      <c r="Q127" s="2"/>
      <c r="S127" s="68"/>
      <c r="T127" s="69"/>
      <c r="V127" s="67"/>
    </row>
    <row r="128" customFormat="false" ht="12.8" hidden="false" customHeight="false" outlineLevel="0" collapsed="false">
      <c r="M128" s="68"/>
      <c r="N128" s="68"/>
      <c r="O128" s="68"/>
      <c r="Q128" s="2"/>
      <c r="S128" s="68"/>
      <c r="T128" s="69"/>
      <c r="V128" s="67"/>
    </row>
    <row r="129" customFormat="false" ht="12.8" hidden="false" customHeight="false" outlineLevel="0" collapsed="false">
      <c r="M129" s="68"/>
      <c r="N129" s="68"/>
      <c r="O129" s="68"/>
      <c r="Q129" s="2"/>
      <c r="S129" s="68"/>
      <c r="T129" s="69"/>
      <c r="V129" s="67"/>
    </row>
  </sheetData>
  <mergeCells count="2">
    <mergeCell ref="D65:O65"/>
    <mergeCell ref="Q65:R6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AF48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F18" activeCellId="0" sqref="F18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8.6"/>
    <col collapsed="false" customWidth="true" hidden="false" outlineLevel="0" max="2" min="2" style="0" width="29.57"/>
    <col collapsed="false" customWidth="true" hidden="false" outlineLevel="0" max="3" min="3" style="0" width="13.05"/>
    <col collapsed="false" customWidth="true" hidden="false" outlineLevel="0" max="5" min="4" style="0" width="11.84"/>
    <col collapsed="false" customWidth="true" hidden="false" outlineLevel="0" max="6" min="6" style="0" width="3.8"/>
    <col collapsed="false" customWidth="true" hidden="false" outlineLevel="0" max="12" min="7" style="0" width="11.84"/>
    <col collapsed="false" customWidth="true" hidden="false" outlineLevel="0" max="14" min="13" style="0" width="12.71"/>
    <col collapsed="false" customWidth="true" hidden="false" outlineLevel="0" max="15" min="15" style="0" width="3.3"/>
    <col collapsed="false" customWidth="true" hidden="false" outlineLevel="0" max="22" min="16" style="0" width="11.84"/>
    <col collapsed="false" customWidth="true" hidden="false" outlineLevel="0" max="23" min="23" style="0" width="4.95"/>
    <col collapsed="false" customWidth="true" hidden="false" outlineLevel="0" max="64" min="24" style="0" width="11.84"/>
  </cols>
  <sheetData>
    <row r="2" customFormat="false" ht="12.8" hidden="false" customHeight="false" outlineLevel="0" collapsed="false">
      <c r="X2" s="0" t="s">
        <v>95</v>
      </c>
      <c r="Y2" s="0" t="n">
        <v>4154000</v>
      </c>
      <c r="Z2" s="0" t="s">
        <v>96</v>
      </c>
    </row>
    <row r="3" customFormat="false" ht="12.8" hidden="false" customHeight="false" outlineLevel="0" collapsed="false">
      <c r="B3" s="0" t="s">
        <v>97</v>
      </c>
      <c r="D3" s="0" t="s">
        <v>98</v>
      </c>
      <c r="G3" s="72" t="s">
        <v>99</v>
      </c>
      <c r="H3" s="72"/>
      <c r="I3" s="72" t="s">
        <v>100</v>
      </c>
      <c r="J3" s="72"/>
      <c r="K3" s="72" t="s">
        <v>101</v>
      </c>
      <c r="L3" s="72"/>
      <c r="M3" s="72" t="s">
        <v>102</v>
      </c>
      <c r="N3" s="72"/>
      <c r="P3" s="0" t="s">
        <v>103</v>
      </c>
      <c r="X3" s="0" t="s">
        <v>104</v>
      </c>
      <c r="Z3" s="0" t="n">
        <v>0.046</v>
      </c>
      <c r="AA3" s="0" t="n">
        <v>0.017</v>
      </c>
    </row>
    <row r="4" customFormat="false" ht="12.8" hidden="false" customHeight="false" outlineLevel="0" collapsed="false">
      <c r="D4" s="0" t="s">
        <v>105</v>
      </c>
      <c r="E4" s="0" t="s">
        <v>106</v>
      </c>
      <c r="G4" s="72" t="s">
        <v>105</v>
      </c>
      <c r="H4" s="72" t="s">
        <v>106</v>
      </c>
      <c r="I4" s="72" t="s">
        <v>105</v>
      </c>
      <c r="J4" s="72" t="s">
        <v>106</v>
      </c>
      <c r="K4" s="72" t="s">
        <v>105</v>
      </c>
      <c r="L4" s="72" t="s">
        <v>106</v>
      </c>
      <c r="M4" s="72" t="s">
        <v>105</v>
      </c>
      <c r="N4" s="72" t="s">
        <v>106</v>
      </c>
      <c r="P4" s="0" t="s">
        <v>105</v>
      </c>
      <c r="Q4" s="0" t="s">
        <v>106</v>
      </c>
      <c r="R4" s="0" t="s">
        <v>107</v>
      </c>
      <c r="S4" s="0" t="s">
        <v>108</v>
      </c>
      <c r="T4" s="0" t="s">
        <v>109</v>
      </c>
      <c r="V4" s="0" t="s">
        <v>110</v>
      </c>
      <c r="X4" s="0" t="s">
        <v>111</v>
      </c>
      <c r="Y4" s="0" t="s">
        <v>111</v>
      </c>
      <c r="Z4" s="0" t="s">
        <v>112</v>
      </c>
      <c r="AA4" s="0" t="s">
        <v>112</v>
      </c>
    </row>
    <row r="5" customFormat="false" ht="12.8" hidden="false" customHeight="false" outlineLevel="0" collapsed="false">
      <c r="B5" s="0" t="s">
        <v>113</v>
      </c>
      <c r="C5" s="0" t="s">
        <v>67</v>
      </c>
      <c r="D5" s="73" t="n">
        <v>292.86</v>
      </c>
      <c r="E5" s="73" t="n">
        <v>19.4</v>
      </c>
      <c r="F5" s="73"/>
      <c r="G5" s="74" t="n">
        <v>111.68</v>
      </c>
      <c r="H5" s="75" t="n">
        <v>12.78</v>
      </c>
      <c r="I5" s="75" t="n">
        <v>22.77</v>
      </c>
      <c r="J5" s="75" t="n">
        <v>2.61</v>
      </c>
      <c r="K5" s="76" t="n">
        <v>158.41</v>
      </c>
      <c r="L5" s="77" t="n">
        <v>4.01</v>
      </c>
      <c r="M5" s="78" t="n">
        <v>134.45</v>
      </c>
      <c r="N5" s="78" t="n">
        <v>15.39</v>
      </c>
      <c r="O5" s="73"/>
      <c r="P5" s="73" t="n">
        <f aca="false">G5+I5+K5</f>
        <v>292.86</v>
      </c>
      <c r="Q5" s="73" t="n">
        <f aca="false">H5+J5+L5</f>
        <v>19.4</v>
      </c>
      <c r="R5" s="2" t="n">
        <v>0.79547717104392</v>
      </c>
      <c r="S5" s="68" t="n">
        <f aca="false">(G5/46+H5/17)/(G5/46+H5/17+I5/46+J5/17)</f>
        <v>0.830588023075972</v>
      </c>
      <c r="T5" s="0" t="n">
        <v>185.2</v>
      </c>
      <c r="U5" s="0" t="n">
        <v>169.9</v>
      </c>
      <c r="V5" s="0" t="n">
        <f aca="false">T5-U5</f>
        <v>15.3</v>
      </c>
      <c r="X5" s="79" t="n">
        <f aca="false">'Data Trajecten'!D82</f>
        <v>0</v>
      </c>
      <c r="Y5" s="79" t="n">
        <f aca="false">'Data Trajecten'!C82</f>
        <v>0</v>
      </c>
      <c r="Z5" s="2" t="n">
        <f aca="false">X5*$Y$2*Z$3/(D5*1000)</f>
        <v>0</v>
      </c>
      <c r="AA5" s="2" t="n">
        <f aca="false">Y5*$Y$2*AA$3/(E5*1000)</f>
        <v>0</v>
      </c>
      <c r="AC5" s="73"/>
      <c r="AD5" s="73"/>
      <c r="AE5" s="73"/>
      <c r="AF5" s="73"/>
    </row>
    <row r="6" customFormat="false" ht="12.8" hidden="false" customHeight="false" outlineLevel="0" collapsed="false">
      <c r="B6" s="2" t="n">
        <f aca="false">R8/R5-1</f>
        <v>0.00521824491003753</v>
      </c>
      <c r="C6" s="0" t="s">
        <v>18</v>
      </c>
      <c r="D6" s="73" t="n">
        <v>283.13</v>
      </c>
      <c r="E6" s="73" t="n">
        <v>19.36</v>
      </c>
      <c r="F6" s="73"/>
      <c r="G6" s="80" t="n">
        <v>103.6</v>
      </c>
      <c r="H6" s="81" t="n">
        <v>12.75</v>
      </c>
      <c r="I6" s="81" t="n">
        <v>21.12</v>
      </c>
      <c r="J6" s="81" t="n">
        <v>2.6</v>
      </c>
      <c r="K6" s="82" t="n">
        <v>158.41</v>
      </c>
      <c r="L6" s="83" t="n">
        <v>4.01</v>
      </c>
      <c r="M6" s="84" t="n">
        <v>124.72</v>
      </c>
      <c r="N6" s="84" t="n">
        <v>15.35</v>
      </c>
      <c r="O6" s="73"/>
      <c r="P6" s="73" t="n">
        <f aca="false">G6+I6+K6</f>
        <v>283.13</v>
      </c>
      <c r="Q6" s="73" t="n">
        <f aca="false">H6+J6+L6</f>
        <v>19.36</v>
      </c>
      <c r="R6" s="2" t="n">
        <v>0.79547717104392</v>
      </c>
      <c r="S6" s="68" t="n">
        <f aca="false">(G6/46+H6/17)/(G6/46+H6/17+I6/46+J6/17)</f>
        <v>0.830650240240028</v>
      </c>
      <c r="T6" s="0" t="n">
        <v>185.2</v>
      </c>
      <c r="U6" s="0" t="n">
        <v>169.9</v>
      </c>
      <c r="V6" s="0" t="n">
        <f aca="false">T6-U6</f>
        <v>15.3</v>
      </c>
      <c r="X6" s="79" t="n">
        <f aca="false">'Data Trajecten'!D81</f>
        <v>0</v>
      </c>
      <c r="Y6" s="79" t="n">
        <f aca="false">'Data Trajecten'!C81</f>
        <v>0</v>
      </c>
      <c r="Z6" s="2" t="n">
        <f aca="false">X6*$Y$2*Z$3/(D6*1000)</f>
        <v>0</v>
      </c>
      <c r="AA6" s="2" t="n">
        <f aca="false">Y6*$Y$2*AA$3/(E6*1000)</f>
        <v>0</v>
      </c>
      <c r="AC6" s="73"/>
      <c r="AD6" s="73"/>
      <c r="AE6" s="73"/>
      <c r="AF6" s="73"/>
    </row>
    <row r="7" customFormat="false" ht="12.8" hidden="false" customHeight="false" outlineLevel="0" collapsed="false">
      <c r="B7" s="0" t="n">
        <v>1880</v>
      </c>
      <c r="C7" s="0" t="s">
        <v>114</v>
      </c>
      <c r="D7" s="73" t="n">
        <v>291.64</v>
      </c>
      <c r="E7" s="73" t="n">
        <v>19.4</v>
      </c>
      <c r="F7" s="73"/>
      <c r="G7" s="80" t="n">
        <v>110.67</v>
      </c>
      <c r="H7" s="81" t="n">
        <v>12.78</v>
      </c>
      <c r="I7" s="81" t="n">
        <v>22.56</v>
      </c>
      <c r="J7" s="81" t="n">
        <v>2.61</v>
      </c>
      <c r="K7" s="85" t="n">
        <f aca="false">K6</f>
        <v>158.41</v>
      </c>
      <c r="L7" s="86" t="n">
        <f aca="false">L6</f>
        <v>4.01</v>
      </c>
      <c r="M7" s="84" t="n">
        <v>133.23</v>
      </c>
      <c r="N7" s="84" t="n">
        <v>15.39</v>
      </c>
      <c r="O7" s="73"/>
      <c r="P7" s="73" t="n">
        <f aca="false">G7+I7+K7</f>
        <v>291.64</v>
      </c>
      <c r="Q7" s="73" t="n">
        <f aca="false">H7+J7+L7</f>
        <v>19.4</v>
      </c>
      <c r="R7" s="2" t="n">
        <v>0.79547717104392</v>
      </c>
      <c r="S7" s="68" t="n">
        <f aca="false">(G7/46+H7/17)/(G7/46+H7/17+I7/46+J7/17)</f>
        <v>0.830606993289268</v>
      </c>
      <c r="X7" s="79" t="n">
        <f aca="false">'Data Trajecten'!D83</f>
        <v>0</v>
      </c>
      <c r="Y7" s="79" t="n">
        <f aca="false">'Data Trajecten'!C83</f>
        <v>0</v>
      </c>
      <c r="Z7" s="2" t="n">
        <f aca="false">X7*$Y$2*Z$3/(D7*1000)</f>
        <v>0</v>
      </c>
      <c r="AA7" s="2" t="n">
        <f aca="false">Y7*$Y$2*AA$3/(E7*1000)</f>
        <v>0</v>
      </c>
      <c r="AC7" s="73"/>
      <c r="AD7" s="73"/>
      <c r="AE7" s="73"/>
      <c r="AF7" s="73"/>
    </row>
    <row r="8" customFormat="false" ht="12.8" hidden="false" customHeight="false" outlineLevel="0" collapsed="false">
      <c r="C8" s="0" t="s">
        <v>115</v>
      </c>
      <c r="D8" s="73" t="n">
        <v>266.85</v>
      </c>
      <c r="E8" s="73" t="n">
        <v>18.85</v>
      </c>
      <c r="F8" s="73"/>
      <c r="G8" s="80" t="n">
        <v>82.36</v>
      </c>
      <c r="H8" s="81" t="n">
        <v>11.85</v>
      </c>
      <c r="I8" s="81" t="n">
        <v>26.03</v>
      </c>
      <c r="J8" s="81" t="n">
        <v>2.99</v>
      </c>
      <c r="K8" s="87" t="n">
        <v>158.46</v>
      </c>
      <c r="L8" s="88" t="n">
        <v>4.02</v>
      </c>
      <c r="M8" s="84" t="n">
        <v>108.39</v>
      </c>
      <c r="N8" s="84" t="n">
        <v>14.83</v>
      </c>
      <c r="O8" s="73"/>
      <c r="P8" s="73" t="n">
        <f aca="false">G8+I8+K8</f>
        <v>266.85</v>
      </c>
      <c r="Q8" s="73" t="n">
        <f aca="false">H8+J8+L8</f>
        <v>18.86</v>
      </c>
      <c r="R8" s="2" t="n">
        <v>0.799628165742771</v>
      </c>
      <c r="S8" s="68" t="n">
        <f aca="false">(G8/46+H8/17)/(G8/46+H8/17+I8/46+J8/17)</f>
        <v>0.770301789511617</v>
      </c>
      <c r="X8" s="79" t="n">
        <f aca="false">'Data Trajecten'!D86</f>
        <v>0</v>
      </c>
      <c r="Y8" s="79" t="n">
        <f aca="false">'Data Trajecten'!C86</f>
        <v>0</v>
      </c>
      <c r="Z8" s="2" t="n">
        <f aca="false">X8*$Y$2*Z$3/(D8*1000)</f>
        <v>0</v>
      </c>
      <c r="AA8" s="2" t="n">
        <f aca="false">Y8*$Y$2*AA$3/(E8*1000)</f>
        <v>0</v>
      </c>
      <c r="AC8" s="73"/>
      <c r="AD8" s="73"/>
      <c r="AE8" s="73"/>
      <c r="AF8" s="73"/>
    </row>
    <row r="9" customFormat="false" ht="12.8" hidden="false" customHeight="false" outlineLevel="0" collapsed="false">
      <c r="C9" s="0" t="s">
        <v>116</v>
      </c>
      <c r="D9" s="73" t="n">
        <v>264.9</v>
      </c>
      <c r="E9" s="73" t="n">
        <v>18.84</v>
      </c>
      <c r="F9" s="73"/>
      <c r="G9" s="89" t="n">
        <f aca="false">G8</f>
        <v>82.36</v>
      </c>
      <c r="H9" s="82" t="n">
        <f aca="false">H8</f>
        <v>11.85</v>
      </c>
      <c r="I9" s="81" t="n">
        <v>24.09</v>
      </c>
      <c r="J9" s="81" t="n">
        <v>2.98</v>
      </c>
      <c r="K9" s="82" t="n">
        <v>158.46</v>
      </c>
      <c r="L9" s="83" t="n">
        <v>4.02</v>
      </c>
      <c r="M9" s="84" t="n">
        <v>106.44</v>
      </c>
      <c r="N9" s="84" t="n">
        <v>14.82</v>
      </c>
      <c r="O9" s="73"/>
      <c r="P9" s="73" t="n">
        <f aca="false">G9+I9+K9</f>
        <v>264.91</v>
      </c>
      <c r="Q9" s="73" t="n">
        <f aca="false">H9+J9+L9</f>
        <v>18.85</v>
      </c>
      <c r="R9" s="2" t="n">
        <v>0.799628165742771</v>
      </c>
      <c r="S9" s="68" t="n">
        <f aca="false">(G9/46+H9/17)/(G9/46+H9/17+I9/46+J9/17)</f>
        <v>0.780639128672502</v>
      </c>
      <c r="X9" s="79" t="n">
        <f aca="false">'Data Trajecten'!D85</f>
        <v>0</v>
      </c>
      <c r="Y9" s="79" t="n">
        <f aca="false">'Data Trajecten'!C85</f>
        <v>0</v>
      </c>
      <c r="Z9" s="2" t="n">
        <f aca="false">X9*$Y$2*Z$3/(D9*1000)</f>
        <v>0</v>
      </c>
      <c r="AA9" s="2" t="n">
        <f aca="false">Y9*$Y$2*AA$3/(E9*1000)</f>
        <v>0</v>
      </c>
      <c r="AC9" s="73"/>
      <c r="AD9" s="73"/>
      <c r="AE9" s="73"/>
      <c r="AF9" s="73"/>
    </row>
    <row r="10" customFormat="false" ht="12.8" hidden="false" customHeight="false" outlineLevel="0" collapsed="false">
      <c r="C10" s="0" t="s">
        <v>117</v>
      </c>
      <c r="D10" s="73" t="n">
        <v>266.6</v>
      </c>
      <c r="E10" s="73" t="n">
        <v>18.85</v>
      </c>
      <c r="F10" s="73"/>
      <c r="G10" s="89" t="n">
        <f aca="false">G9</f>
        <v>82.36</v>
      </c>
      <c r="H10" s="82" t="n">
        <f aca="false">H9</f>
        <v>11.85</v>
      </c>
      <c r="I10" s="81" t="n">
        <v>25.79</v>
      </c>
      <c r="J10" s="81" t="n">
        <v>2.98</v>
      </c>
      <c r="K10" s="85" t="n">
        <f aca="false">K9</f>
        <v>158.46</v>
      </c>
      <c r="L10" s="86" t="n">
        <f aca="false">L9</f>
        <v>4.02</v>
      </c>
      <c r="M10" s="84" t="n">
        <v>108.14</v>
      </c>
      <c r="N10" s="84" t="n">
        <v>14.83</v>
      </c>
      <c r="O10" s="73"/>
      <c r="P10" s="73" t="n">
        <f aca="false">G10+I10+K10</f>
        <v>266.61</v>
      </c>
      <c r="Q10" s="73" t="n">
        <f aca="false">H10+J10+L10</f>
        <v>18.85</v>
      </c>
      <c r="R10" s="2" t="n">
        <v>0.799628165742771</v>
      </c>
      <c r="S10" s="68" t="n">
        <f aca="false">(G10/46+H10/17)/(G10/46+H10/17+I10/46+J10/17)</f>
        <v>0.771689153538856</v>
      </c>
      <c r="X10" s="79" t="n">
        <f aca="false">'Data Trajecten'!D87</f>
        <v>0</v>
      </c>
      <c r="Y10" s="79" t="n">
        <f aca="false">'Data Trajecten'!C87</f>
        <v>0</v>
      </c>
      <c r="Z10" s="2" t="n">
        <f aca="false">X10*$Y$2*Z$3/(D10*1000)</f>
        <v>0</v>
      </c>
      <c r="AA10" s="2" t="n">
        <f aca="false">Y10*$Y$2*AA$3/(E10*1000)</f>
        <v>0</v>
      </c>
      <c r="AC10" s="73"/>
      <c r="AD10" s="73"/>
      <c r="AE10" s="73"/>
      <c r="AF10" s="73"/>
    </row>
    <row r="11" customFormat="false" ht="12.8" hidden="false" customHeight="false" outlineLevel="0" collapsed="false">
      <c r="B11" s="0" t="s">
        <v>118</v>
      </c>
      <c r="C11" s="0" t="s">
        <v>67</v>
      </c>
      <c r="D11" s="73" t="n">
        <v>190.73</v>
      </c>
      <c r="E11" s="73" t="n">
        <v>14.17</v>
      </c>
      <c r="F11" s="73"/>
      <c r="G11" s="90" t="n">
        <v>81.36</v>
      </c>
      <c r="H11" s="87" t="n">
        <v>9.57</v>
      </c>
      <c r="I11" s="87" t="n">
        <v>21.34</v>
      </c>
      <c r="J11" s="87" t="n">
        <v>2.47</v>
      </c>
      <c r="K11" s="87" t="n">
        <v>88.03</v>
      </c>
      <c r="L11" s="88" t="n">
        <v>2.12</v>
      </c>
      <c r="M11" s="91" t="n">
        <v>102.7</v>
      </c>
      <c r="N11" s="91" t="n">
        <v>12.05</v>
      </c>
      <c r="O11" s="73"/>
      <c r="P11" s="73" t="n">
        <f aca="false">G11+I11+K11</f>
        <v>190.73</v>
      </c>
      <c r="Q11" s="73" t="n">
        <f aca="false">H11+J11+L11</f>
        <v>14.16</v>
      </c>
      <c r="R11" s="2" t="n">
        <v>0.794911780115833</v>
      </c>
      <c r="S11" s="68" t="n">
        <f aca="false">(G11/46+H11/17)/(G11/46+H11/17+I11/46+J11/17)</f>
        <v>0.792846147825406</v>
      </c>
      <c r="T11" s="0" t="n">
        <v>33</v>
      </c>
      <c r="U11" s="0" t="n">
        <v>30</v>
      </c>
      <c r="V11" s="0" t="n">
        <f aca="false">T11-U11</f>
        <v>3</v>
      </c>
      <c r="X11" s="79" t="n">
        <f aca="false">'Data Trajecten'!D94</f>
        <v>0</v>
      </c>
      <c r="Y11" s="79" t="n">
        <f aca="false">'Data Trajecten'!C94</f>
        <v>0</v>
      </c>
      <c r="Z11" s="2" t="n">
        <f aca="false">X11*$Y$2*Z$3/(D11*1000)</f>
        <v>0</v>
      </c>
      <c r="AA11" s="2" t="n">
        <f aca="false">Y11*$Y$2*AA$3/(E11*1000)</f>
        <v>0</v>
      </c>
      <c r="AC11" s="73"/>
      <c r="AD11" s="73"/>
      <c r="AE11" s="73"/>
      <c r="AF11" s="73"/>
    </row>
    <row r="12" customFormat="false" ht="12.8" hidden="false" customHeight="false" outlineLevel="0" collapsed="false">
      <c r="B12" s="2" t="n">
        <f aca="false">R13/R11-1</f>
        <v>0.000711262485007635</v>
      </c>
      <c r="C12" s="0" t="s">
        <v>18</v>
      </c>
      <c r="D12" s="73" t="n">
        <v>185.12</v>
      </c>
      <c r="E12" s="73" t="n">
        <v>14.14</v>
      </c>
      <c r="F12" s="73"/>
      <c r="G12" s="90" t="n">
        <v>76.9</v>
      </c>
      <c r="H12" s="87" t="n">
        <v>9.55</v>
      </c>
      <c r="I12" s="87" t="n">
        <v>20.19</v>
      </c>
      <c r="J12" s="87" t="n">
        <v>2.47</v>
      </c>
      <c r="K12" s="85" t="n">
        <f aca="false">K11</f>
        <v>88.03</v>
      </c>
      <c r="L12" s="86" t="n">
        <f aca="false">L11</f>
        <v>2.12</v>
      </c>
      <c r="M12" s="91" t="n">
        <v>97.09</v>
      </c>
      <c r="N12" s="91" t="n">
        <v>12.02</v>
      </c>
      <c r="O12" s="73"/>
      <c r="P12" s="73" t="n">
        <f aca="false">G12+I12+K12</f>
        <v>185.12</v>
      </c>
      <c r="Q12" s="73" t="n">
        <f aca="false">H12+J12+L12</f>
        <v>14.14</v>
      </c>
      <c r="R12" s="2" t="n">
        <v>0.794911780115833</v>
      </c>
      <c r="S12" s="68" t="n">
        <f aca="false">(G12/46+H12/17)/(G12/46+H12/17+I12/46+J12/17)</f>
        <v>0.792666046427194</v>
      </c>
      <c r="T12" s="0" t="n">
        <v>33</v>
      </c>
      <c r="U12" s="0" t="n">
        <v>28.4</v>
      </c>
      <c r="V12" s="0" t="n">
        <f aca="false">T12-U12</f>
        <v>4.6</v>
      </c>
      <c r="X12" s="79" t="n">
        <f aca="false">'Data Trajecten'!D93</f>
        <v>0</v>
      </c>
      <c r="Y12" s="79" t="n">
        <f aca="false">'Data Trajecten'!C93</f>
        <v>0</v>
      </c>
      <c r="Z12" s="2" t="n">
        <f aca="false">X12*$Y$2*Z$3/(D12*1000)</f>
        <v>0</v>
      </c>
      <c r="AA12" s="2" t="n">
        <f aca="false">Y12*$Y$2*AA$3/(E12*1000)</f>
        <v>0</v>
      </c>
      <c r="AC12" s="73"/>
      <c r="AD12" s="73"/>
      <c r="AE12" s="73"/>
      <c r="AF12" s="73"/>
    </row>
    <row r="13" customFormat="false" ht="12.8" hidden="false" customHeight="false" outlineLevel="0" collapsed="false">
      <c r="B13" s="0" t="n">
        <v>778</v>
      </c>
      <c r="C13" s="0" t="s">
        <v>115</v>
      </c>
      <c r="D13" s="73" t="n">
        <v>174.34</v>
      </c>
      <c r="E13" s="73" t="n">
        <v>13.81</v>
      </c>
      <c r="F13" s="73"/>
      <c r="G13" s="90" t="n">
        <v>65.12</v>
      </c>
      <c r="H13" s="87" t="n">
        <v>9.28</v>
      </c>
      <c r="I13" s="87" t="n">
        <v>20.64</v>
      </c>
      <c r="J13" s="87" t="n">
        <v>2.4</v>
      </c>
      <c r="K13" s="87" t="n">
        <v>88.57</v>
      </c>
      <c r="L13" s="88" t="n">
        <v>2.14</v>
      </c>
      <c r="M13" s="91" t="n">
        <v>85.77</v>
      </c>
      <c r="N13" s="91" t="n">
        <v>11.68</v>
      </c>
      <c r="O13" s="73"/>
      <c r="P13" s="73" t="n">
        <f aca="false">G13+I13+K13</f>
        <v>174.33</v>
      </c>
      <c r="Q13" s="73" t="n">
        <f aca="false">H13+J13+L13</f>
        <v>13.82</v>
      </c>
      <c r="R13" s="2" t="n">
        <v>0.79547717104392</v>
      </c>
      <c r="S13" s="68" t="n">
        <f aca="false">(G13/46+H13/17)/(G13/46+H13/17+I13/46+J13/17)</f>
        <v>0.768805132317562</v>
      </c>
      <c r="X13" s="79" t="n">
        <f aca="false">'Data Trajecten'!D96</f>
        <v>0</v>
      </c>
      <c r="Y13" s="79" t="n">
        <f aca="false">'Data Trajecten'!C96</f>
        <v>0</v>
      </c>
      <c r="Z13" s="2" t="n">
        <f aca="false">X13*$Y$2*Z$3/(D13*1000)</f>
        <v>0</v>
      </c>
      <c r="AA13" s="2" t="n">
        <f aca="false">Y13*$Y$2*AA$3/(E13*1000)</f>
        <v>0</v>
      </c>
      <c r="AC13" s="73"/>
      <c r="AD13" s="73"/>
      <c r="AE13" s="73"/>
      <c r="AF13" s="73"/>
    </row>
    <row r="14" customFormat="false" ht="12.8" hidden="false" customHeight="false" outlineLevel="0" collapsed="false">
      <c r="C14" s="0" t="s">
        <v>116</v>
      </c>
      <c r="D14" s="73" t="n">
        <v>173.2</v>
      </c>
      <c r="E14" s="73" t="n">
        <v>13.81</v>
      </c>
      <c r="F14" s="73"/>
      <c r="G14" s="92" t="n">
        <v>65.12</v>
      </c>
      <c r="H14" s="85" t="n">
        <v>9.28</v>
      </c>
      <c r="I14" s="87" t="n">
        <v>19.5</v>
      </c>
      <c r="J14" s="87" t="n">
        <v>2.39</v>
      </c>
      <c r="K14" s="85" t="n">
        <f aca="false">K13</f>
        <v>88.57</v>
      </c>
      <c r="L14" s="86" t="n">
        <f aca="false">L13</f>
        <v>2.14</v>
      </c>
      <c r="M14" s="91" t="n">
        <v>84.63</v>
      </c>
      <c r="N14" s="91" t="n">
        <v>11.67</v>
      </c>
      <c r="O14" s="73"/>
      <c r="P14" s="73" t="n">
        <f aca="false">G14+I14+K14</f>
        <v>173.19</v>
      </c>
      <c r="Q14" s="73" t="n">
        <f aca="false">H14+J14+L14</f>
        <v>13.81</v>
      </c>
      <c r="R14" s="2" t="n">
        <v>0.79547717104392</v>
      </c>
      <c r="S14" s="68" t="n">
        <f aca="false">(G14/46+H14/17)/(G14/46+H14/17+I14/46+J14/17)</f>
        <v>0.776526810302932</v>
      </c>
      <c r="X14" s="79" t="n">
        <f aca="false">'Data Trajecten'!D95</f>
        <v>0</v>
      </c>
      <c r="Y14" s="79" t="n">
        <f aca="false">'Data Trajecten'!C95</f>
        <v>0</v>
      </c>
      <c r="Z14" s="2" t="n">
        <f aca="false">X14*$Y$2*Z$3/(D14*1000)</f>
        <v>0</v>
      </c>
      <c r="AA14" s="2" t="n">
        <f aca="false">Y14*$Y$2*AA$3/(E14*1000)</f>
        <v>0</v>
      </c>
      <c r="AC14" s="73"/>
      <c r="AD14" s="73"/>
      <c r="AE14" s="73"/>
      <c r="AF14" s="73"/>
    </row>
    <row r="15" customFormat="false" ht="12.8" hidden="false" customHeight="false" outlineLevel="0" collapsed="false">
      <c r="B15" s="0" t="s">
        <v>119</v>
      </c>
      <c r="C15" s="0" t="s">
        <v>67</v>
      </c>
      <c r="D15" s="73" t="n">
        <v>312.91</v>
      </c>
      <c r="E15" s="73" t="n">
        <v>22.92</v>
      </c>
      <c r="F15" s="73"/>
      <c r="G15" s="93" t="n">
        <v>132.46</v>
      </c>
      <c r="H15" s="94" t="n">
        <v>15.42</v>
      </c>
      <c r="I15" s="94" t="n">
        <v>29.68</v>
      </c>
      <c r="J15" s="94" t="n">
        <v>3.45</v>
      </c>
      <c r="K15" s="94" t="n">
        <v>150.76</v>
      </c>
      <c r="L15" s="91" t="n">
        <v>4.05</v>
      </c>
      <c r="M15" s="91" t="n">
        <v>162.14</v>
      </c>
      <c r="N15" s="91" t="n">
        <v>18.87</v>
      </c>
      <c r="O15" s="73"/>
      <c r="P15" s="73" t="n">
        <f aca="false">G15+I15+K15</f>
        <v>312.9</v>
      </c>
      <c r="Q15" s="73" t="n">
        <f aca="false">H15+J15+L15</f>
        <v>22.92</v>
      </c>
      <c r="R15" s="2" t="s">
        <v>120</v>
      </c>
      <c r="S15" s="68" t="n">
        <f aca="false">(G15/46+H15/17)/(G15/46+H15/17+I15/46+J15/17)</f>
        <v>0.81700143472023</v>
      </c>
      <c r="T15" s="0" t="n">
        <v>16.7</v>
      </c>
      <c r="U15" s="0" t="n">
        <v>5.8</v>
      </c>
      <c r="V15" s="0" t="n">
        <f aca="false">T15-U15</f>
        <v>10.9</v>
      </c>
      <c r="X15" s="79" t="n">
        <f aca="false">'Data Trajecten'!D99</f>
        <v>0</v>
      </c>
      <c r="Y15" s="79" t="n">
        <f aca="false">'Data Trajecten'!C99</f>
        <v>0</v>
      </c>
      <c r="Z15" s="2" t="n">
        <f aca="false">X15*$Y$2*Z$3/(D15*1000)</f>
        <v>0</v>
      </c>
      <c r="AA15" s="2" t="n">
        <f aca="false">Y15*$Y$2*AA$3/(E15*1000)</f>
        <v>0</v>
      </c>
      <c r="AC15" s="73"/>
      <c r="AD15" s="73"/>
      <c r="AE15" s="73"/>
      <c r="AF15" s="73"/>
    </row>
    <row r="16" customFormat="false" ht="12.8" hidden="false" customHeight="false" outlineLevel="0" collapsed="false">
      <c r="B16" s="2" t="n">
        <f aca="false">R17/R16-1</f>
        <v>-0.0380085715943794</v>
      </c>
      <c r="C16" s="0" t="s">
        <v>18</v>
      </c>
      <c r="D16" s="73" t="n">
        <v>303.48</v>
      </c>
      <c r="E16" s="73" t="n">
        <v>22.88</v>
      </c>
      <c r="F16" s="73"/>
      <c r="G16" s="93" t="n">
        <v>123.04</v>
      </c>
      <c r="H16" s="94" t="n">
        <v>15.37</v>
      </c>
      <c r="I16" s="85" t="n">
        <v>29.68</v>
      </c>
      <c r="J16" s="85" t="n">
        <v>3.45</v>
      </c>
      <c r="K16" s="85" t="n">
        <f aca="false">K15</f>
        <v>150.76</v>
      </c>
      <c r="L16" s="86" t="n">
        <f aca="false">L15</f>
        <v>4.05</v>
      </c>
      <c r="M16" s="91" t="n">
        <v>152.72</v>
      </c>
      <c r="N16" s="91" t="n">
        <v>18.83</v>
      </c>
      <c r="O16" s="73"/>
      <c r="P16" s="73" t="n">
        <f aca="false">G16+I16+K16</f>
        <v>303.48</v>
      </c>
      <c r="Q16" s="73" t="n">
        <f aca="false">H16+J16+L16</f>
        <v>22.87</v>
      </c>
      <c r="R16" s="2" t="n">
        <v>0.816961973560006</v>
      </c>
      <c r="S16" s="68" t="n">
        <f aca="false">(G16/46+H16/17)/(G16/46+H16/17+I16/46+J16/17)</f>
        <v>0.808414886364949</v>
      </c>
      <c r="T16" s="0" t="n">
        <v>17.2</v>
      </c>
      <c r="U16" s="0" t="n">
        <v>5.8</v>
      </c>
      <c r="V16" s="0" t="n">
        <f aca="false">T16-U16</f>
        <v>11.4</v>
      </c>
      <c r="X16" s="79" t="n">
        <f aca="false">'Data Trajecten'!D98</f>
        <v>0</v>
      </c>
      <c r="Y16" s="79" t="n">
        <f aca="false">'Data Trajecten'!C98</f>
        <v>0</v>
      </c>
      <c r="Z16" s="2" t="n">
        <f aca="false">X16*$Y$2*Z$3/(D16*1000)</f>
        <v>0</v>
      </c>
      <c r="AA16" s="2" t="n">
        <f aca="false">Y16*$Y$2*AA$3/(E16*1000)</f>
        <v>0</v>
      </c>
      <c r="AE16" s="73"/>
      <c r="AF16" s="73"/>
    </row>
    <row r="17" customFormat="false" ht="12.8" hidden="false" customHeight="false" outlineLevel="0" collapsed="false">
      <c r="B17" s="0" t="n">
        <v>1568</v>
      </c>
      <c r="C17" s="0" t="s">
        <v>121</v>
      </c>
      <c r="D17" s="73" t="n">
        <v>283.33</v>
      </c>
      <c r="E17" s="73" t="n">
        <v>22.35</v>
      </c>
      <c r="F17" s="73"/>
      <c r="G17" s="93" t="n">
        <v>99.28</v>
      </c>
      <c r="H17" s="94" t="n">
        <v>14.37</v>
      </c>
      <c r="I17" s="94" t="n">
        <v>33.73</v>
      </c>
      <c r="J17" s="94" t="n">
        <v>3.93</v>
      </c>
      <c r="K17" s="94" t="n">
        <v>150.32</v>
      </c>
      <c r="L17" s="91" t="n">
        <v>4.04</v>
      </c>
      <c r="M17" s="91" t="n">
        <v>133.01</v>
      </c>
      <c r="N17" s="91" t="n">
        <v>18.3</v>
      </c>
      <c r="O17" s="73"/>
      <c r="P17" s="73" t="n">
        <f aca="false">G17+I17+K17</f>
        <v>283.33</v>
      </c>
      <c r="Q17" s="73" t="n">
        <f aca="false">H17+J17+L17</f>
        <v>22.34</v>
      </c>
      <c r="R17" s="2" t="n">
        <v>0.785910415898065</v>
      </c>
      <c r="S17" s="68" t="n">
        <f aca="false">(G17/46+H17/17)/(G17/46+H17/17+I17/46+J17/17)</f>
        <v>0.756945764863985</v>
      </c>
      <c r="X17" s="79" t="n">
        <f aca="false">'Data Trajecten'!D100</f>
        <v>0</v>
      </c>
      <c r="Y17" s="79" t="n">
        <f aca="false">'Data Trajecten'!C100</f>
        <v>0</v>
      </c>
      <c r="Z17" s="2" t="n">
        <f aca="false">X17*$Y$2*Z$3/(D17*1000)</f>
        <v>0</v>
      </c>
      <c r="AA17" s="2" t="n">
        <f aca="false">Y17*$Y$2*AA$3/(E17*1000)</f>
        <v>0</v>
      </c>
      <c r="AC17" s="73"/>
      <c r="AD17" s="73"/>
      <c r="AE17" s="73"/>
      <c r="AF17" s="73"/>
    </row>
    <row r="18" customFormat="false" ht="12.8" hidden="false" customHeight="false" outlineLevel="0" collapsed="false">
      <c r="B18" s="0" t="s">
        <v>122</v>
      </c>
      <c r="C18" s="0" t="s">
        <v>67</v>
      </c>
      <c r="D18" s="73" t="n">
        <v>160.91</v>
      </c>
      <c r="E18" s="73" t="n">
        <v>11.49</v>
      </c>
      <c r="F18" s="73"/>
      <c r="G18" s="95" t="n">
        <v>68.01</v>
      </c>
      <c r="H18" s="96" t="n">
        <v>7.77</v>
      </c>
      <c r="I18" s="96" t="n">
        <v>15.24</v>
      </c>
      <c r="J18" s="96" t="n">
        <v>1.74</v>
      </c>
      <c r="K18" s="87" t="n">
        <v>77.66</v>
      </c>
      <c r="L18" s="88" t="n">
        <v>1.98</v>
      </c>
      <c r="M18" s="91" t="n">
        <v>82.25</v>
      </c>
      <c r="N18" s="91" t="n">
        <v>9.51</v>
      </c>
      <c r="O18" s="73"/>
      <c r="P18" s="73" t="n">
        <f aca="false">G18+I18+K18</f>
        <v>160.91</v>
      </c>
      <c r="Q18" s="73" t="n">
        <f aca="false">H18+J18+L18</f>
        <v>11.49</v>
      </c>
      <c r="R18" s="2" t="s">
        <v>120</v>
      </c>
      <c r="S18" s="68" t="n">
        <f aca="false">(G18/46+H18/17)/(G18/46+H18/17+I18/46+J18/17)</f>
        <v>0.816960020726395</v>
      </c>
      <c r="T18" s="0" t="n">
        <v>165.5</v>
      </c>
      <c r="U18" s="0" t="n">
        <v>152</v>
      </c>
      <c r="V18" s="0" t="n">
        <f aca="false">T18-U18</f>
        <v>13.5</v>
      </c>
      <c r="X18" s="79" t="n">
        <f aca="false">'Data Trajecten'!D90</f>
        <v>0</v>
      </c>
      <c r="Y18" s="79" t="n">
        <f aca="false">'Data Trajecten'!C90</f>
        <v>0</v>
      </c>
      <c r="Z18" s="2" t="n">
        <f aca="false">X18*$Y$2*Z$3/(D18*1000)</f>
        <v>0</v>
      </c>
      <c r="AA18" s="2" t="n">
        <f aca="false">Y18*$Y$2*AA$3/(E18*1000)</f>
        <v>0</v>
      </c>
      <c r="AC18" s="73"/>
      <c r="AD18" s="73"/>
      <c r="AE18" s="73"/>
      <c r="AF18" s="73"/>
    </row>
    <row r="19" customFormat="false" ht="12.8" hidden="false" customHeight="false" outlineLevel="0" collapsed="false">
      <c r="B19" s="2" t="n">
        <f aca="false">R20/R19-1</f>
        <v>-0.00137214405899233</v>
      </c>
      <c r="C19" s="0" t="s">
        <v>18</v>
      </c>
      <c r="D19" s="73" t="n">
        <v>155.61</v>
      </c>
      <c r="E19" s="73" t="n">
        <v>11.47</v>
      </c>
      <c r="F19" s="73"/>
      <c r="G19" s="90" t="n">
        <v>62.72</v>
      </c>
      <c r="H19" s="87" t="n">
        <v>7.75</v>
      </c>
      <c r="I19" s="97" t="n">
        <v>15.24</v>
      </c>
      <c r="J19" s="97" t="n">
        <v>1.74</v>
      </c>
      <c r="K19" s="85" t="n">
        <f aca="false">K18</f>
        <v>77.66</v>
      </c>
      <c r="L19" s="86" t="n">
        <f aca="false">L18</f>
        <v>1.98</v>
      </c>
      <c r="M19" s="91" t="n">
        <v>77.96</v>
      </c>
      <c r="N19" s="91" t="n">
        <v>9.49</v>
      </c>
      <c r="O19" s="73"/>
      <c r="P19" s="73" t="n">
        <f aca="false">G19+I19+K19</f>
        <v>155.62</v>
      </c>
      <c r="Q19" s="73" t="n">
        <f aca="false">H19+J19+L19</f>
        <v>11.47</v>
      </c>
      <c r="R19" s="2" t="n">
        <v>0.816961973560006</v>
      </c>
      <c r="S19" s="68" t="n">
        <f aca="false">(G19/46+H19/17)/(G19/46+H19/17+I19/46+J19/17)</f>
        <v>0.807521596494614</v>
      </c>
      <c r="T19" s="0" t="n">
        <v>165.5</v>
      </c>
      <c r="U19" s="0" t="n">
        <v>152</v>
      </c>
      <c r="V19" s="0" t="n">
        <f aca="false">T19-U19</f>
        <v>13.5</v>
      </c>
      <c r="X19" s="79" t="n">
        <f aca="false">'Data Trajecten'!D89</f>
        <v>0</v>
      </c>
      <c r="Y19" s="79" t="n">
        <f aca="false">'Data Trajecten'!C89</f>
        <v>0</v>
      </c>
      <c r="Z19" s="2" t="n">
        <f aca="false">X19*$Y$2*Z$3/(D19*1000)</f>
        <v>0</v>
      </c>
      <c r="AA19" s="2" t="n">
        <f aca="false">Y19*$Y$2*AA$3/(E19*1000)</f>
        <v>0</v>
      </c>
      <c r="AC19" s="73"/>
      <c r="AD19" s="73"/>
      <c r="AE19" s="73"/>
      <c r="AF19" s="73"/>
    </row>
    <row r="20" customFormat="false" ht="12.8" hidden="false" customHeight="false" outlineLevel="0" collapsed="false">
      <c r="B20" s="0" t="n">
        <v>1581</v>
      </c>
      <c r="C20" s="0" t="s">
        <v>121</v>
      </c>
      <c r="D20" s="73" t="n">
        <v>143.04</v>
      </c>
      <c r="E20" s="73" t="n">
        <v>11.04</v>
      </c>
      <c r="F20" s="73"/>
      <c r="G20" s="90" t="n">
        <v>50.66</v>
      </c>
      <c r="H20" s="87" t="n">
        <v>7.38</v>
      </c>
      <c r="I20" s="87" t="n">
        <v>14.69</v>
      </c>
      <c r="J20" s="87" t="n">
        <v>1.68</v>
      </c>
      <c r="K20" s="87" t="n">
        <v>77.69</v>
      </c>
      <c r="L20" s="88" t="n">
        <v>1.98</v>
      </c>
      <c r="M20" s="91" t="n">
        <v>65.34</v>
      </c>
      <c r="N20" s="91" t="n">
        <v>9.06</v>
      </c>
      <c r="O20" s="73"/>
      <c r="P20" s="73" t="n">
        <f aca="false">G20+I20+K20</f>
        <v>143.04</v>
      </c>
      <c r="Q20" s="73" t="n">
        <f aca="false">H20+J20+L20</f>
        <v>11.04</v>
      </c>
      <c r="R20" s="2" t="n">
        <v>0.815840984041563</v>
      </c>
      <c r="S20" s="68" t="n">
        <f aca="false">(G20/46+H20/17)/(G20/46+H20/17+I20/46+J20/17)</f>
        <v>0.785947594766022</v>
      </c>
      <c r="X20" s="79" t="n">
        <f aca="false">'Data Trajecten'!D91</f>
        <v>0</v>
      </c>
      <c r="Y20" s="79" t="n">
        <f aca="false">'Data Trajecten'!C91</f>
        <v>0</v>
      </c>
      <c r="Z20" s="2" t="n">
        <f aca="false">X20*$Y$2*Z$3/(D20*1000)</f>
        <v>0</v>
      </c>
      <c r="AA20" s="2" t="n">
        <f aca="false">Y20*$Y$2*AA$3/(E20*1000)</f>
        <v>0</v>
      </c>
      <c r="AC20" s="73"/>
      <c r="AD20" s="73"/>
      <c r="AE20" s="73"/>
      <c r="AF20" s="73"/>
    </row>
    <row r="21" customFormat="false" ht="12.8" hidden="false" customHeight="false" outlineLevel="0" collapsed="false">
      <c r="B21" s="0" t="s">
        <v>123</v>
      </c>
      <c r="C21" s="0" t="s">
        <v>67</v>
      </c>
      <c r="D21" s="73" t="n">
        <v>622.07</v>
      </c>
      <c r="E21" s="73" t="n">
        <v>39.2</v>
      </c>
      <c r="F21" s="73"/>
      <c r="G21" s="93" t="n">
        <v>204.96</v>
      </c>
      <c r="H21" s="94" t="n">
        <v>23.66</v>
      </c>
      <c r="I21" s="94" t="n">
        <v>50.44</v>
      </c>
      <c r="J21" s="94" t="n">
        <v>5.76</v>
      </c>
      <c r="K21" s="94" t="n">
        <v>366.67</v>
      </c>
      <c r="L21" s="91" t="n">
        <v>9.79</v>
      </c>
      <c r="M21" s="91" t="n">
        <v>255.4</v>
      </c>
      <c r="N21" s="91" t="n">
        <v>29.42</v>
      </c>
      <c r="O21" s="73"/>
      <c r="P21" s="73" t="n">
        <f aca="false">G21+I21+K21</f>
        <v>622.07</v>
      </c>
      <c r="Q21" s="73" t="n">
        <f aca="false">H21+J21+L21</f>
        <v>39.21</v>
      </c>
      <c r="R21" s="2" t="n">
        <v>0.804313896450512</v>
      </c>
      <c r="S21" s="68" t="n">
        <f aca="false">(G21/46+H21/17)/(G21/46+H21/17+I21/46+J21/17)</f>
        <v>0.802911966736434</v>
      </c>
      <c r="T21" s="0" t="n">
        <v>155.3</v>
      </c>
      <c r="U21" s="0" t="n">
        <v>127.2</v>
      </c>
      <c r="V21" s="0" t="n">
        <f aca="false">T21-U21</f>
        <v>28.1</v>
      </c>
      <c r="X21" s="79" t="n">
        <f aca="false">'Data Trajecten'!D103</f>
        <v>0</v>
      </c>
      <c r="Y21" s="79" t="n">
        <f aca="false">'Data Trajecten'!C103</f>
        <v>0</v>
      </c>
      <c r="Z21" s="2" t="n">
        <f aca="false">X21*$Y$2*Z$3/(D21*1000)</f>
        <v>0</v>
      </c>
      <c r="AA21" s="2" t="n">
        <f aca="false">Y21*$Y$2*AA$3/(E21*1000)</f>
        <v>0</v>
      </c>
      <c r="AC21" s="73"/>
      <c r="AD21" s="73"/>
      <c r="AE21" s="73"/>
      <c r="AF21" s="73"/>
    </row>
    <row r="22" customFormat="false" ht="12.8" hidden="false" customHeight="false" outlineLevel="0" collapsed="false">
      <c r="B22" s="2" t="n">
        <f aca="false">R23/R22-1</f>
        <v>0.000411655317235304</v>
      </c>
      <c r="C22" s="0" t="s">
        <v>18</v>
      </c>
      <c r="D22" s="73" t="n">
        <v>608.55</v>
      </c>
      <c r="E22" s="73" t="n">
        <v>39.14</v>
      </c>
      <c r="F22" s="73"/>
      <c r="G22" s="93" t="n">
        <v>191.44</v>
      </c>
      <c r="H22" s="94" t="n">
        <v>23.59</v>
      </c>
      <c r="I22" s="85" t="n">
        <f aca="false">I21</f>
        <v>50.44</v>
      </c>
      <c r="J22" s="85" t="n">
        <f aca="false">J21</f>
        <v>5.76</v>
      </c>
      <c r="K22" s="85" t="n">
        <f aca="false">K21</f>
        <v>366.67</v>
      </c>
      <c r="L22" s="86" t="n">
        <f aca="false">L21</f>
        <v>9.79</v>
      </c>
      <c r="M22" s="91" t="n">
        <v>241.88</v>
      </c>
      <c r="N22" s="91" t="n">
        <v>29.35</v>
      </c>
      <c r="O22" s="73"/>
      <c r="P22" s="73" t="n">
        <f aca="false">G22+I22+K22</f>
        <v>608.55</v>
      </c>
      <c r="Q22" s="73" t="n">
        <f aca="false">H22+J22+L22</f>
        <v>39.14</v>
      </c>
      <c r="R22" s="2" t="n">
        <v>0.804313896450512</v>
      </c>
      <c r="S22" s="68" t="n">
        <f aca="false">(G22/46+H22/17)/(G22/46+H22/17+I22/46+J22/17)</f>
        <v>0.794502440471178</v>
      </c>
      <c r="T22" s="0" t="n">
        <v>155.3</v>
      </c>
      <c r="U22" s="0" t="n">
        <v>118.5</v>
      </c>
      <c r="V22" s="0" t="n">
        <f aca="false">T22-U22</f>
        <v>36.8</v>
      </c>
      <c r="X22" s="79" t="n">
        <f aca="false">'Data Trajecten'!D102</f>
        <v>0</v>
      </c>
      <c r="Y22" s="79" t="n">
        <f aca="false">'Data Trajecten'!C102</f>
        <v>0</v>
      </c>
      <c r="Z22" s="2" t="n">
        <f aca="false">X22*$Y$2*Z$3/(D22*1000)</f>
        <v>0</v>
      </c>
      <c r="AA22" s="2" t="n">
        <f aca="false">Y22*$Y$2*AA$3/(E22*1000)</f>
        <v>0</v>
      </c>
      <c r="AC22" s="73"/>
      <c r="AD22" s="73"/>
      <c r="AE22" s="73"/>
      <c r="AF22" s="73"/>
    </row>
    <row r="23" customFormat="false" ht="12.8" hidden="false" customHeight="false" outlineLevel="0" collapsed="false">
      <c r="B23" s="0" t="n">
        <v>4568</v>
      </c>
      <c r="C23" s="0" t="s">
        <v>121</v>
      </c>
      <c r="D23" s="73" t="n">
        <v>574.09</v>
      </c>
      <c r="E23" s="73" t="n">
        <v>38.33</v>
      </c>
      <c r="F23" s="73"/>
      <c r="G23" s="98" t="n">
        <v>158.05</v>
      </c>
      <c r="H23" s="99" t="n">
        <v>22.89</v>
      </c>
      <c r="I23" s="99" t="n">
        <v>49.34</v>
      </c>
      <c r="J23" s="99" t="n">
        <v>5.64</v>
      </c>
      <c r="K23" s="99" t="n">
        <v>366.69</v>
      </c>
      <c r="L23" s="100" t="n">
        <v>9.8</v>
      </c>
      <c r="M23" s="100" t="n">
        <v>207.39</v>
      </c>
      <c r="N23" s="100" t="n">
        <v>28.53</v>
      </c>
      <c r="O23" s="73"/>
      <c r="P23" s="73" t="n">
        <f aca="false">G23+I23+K23</f>
        <v>574.08</v>
      </c>
      <c r="Q23" s="73" t="n">
        <f aca="false">H23+J23+L23</f>
        <v>38.33</v>
      </c>
      <c r="R23" s="2" t="n">
        <v>0.804644996542712</v>
      </c>
      <c r="S23" s="68" t="n">
        <f aca="false">(G23/46+H23/17)/(G23/46+H23/17+I23/46+J23/17)</f>
        <v>0.77300170938051</v>
      </c>
      <c r="X23" s="79" t="n">
        <f aca="false">'Data Trajecten'!D104</f>
        <v>0</v>
      </c>
      <c r="Y23" s="79" t="n">
        <f aca="false">'Data Trajecten'!C104</f>
        <v>0</v>
      </c>
      <c r="Z23" s="2" t="n">
        <f aca="false">X23*$Y$2*Z$3/(D23*1000)</f>
        <v>0</v>
      </c>
      <c r="AA23" s="2" t="n">
        <f aca="false">Y23*$Y$2*AA$3/(E23*1000)</f>
        <v>0</v>
      </c>
      <c r="AC23" s="73"/>
      <c r="AD23" s="73"/>
      <c r="AE23" s="73"/>
      <c r="AF23" s="73"/>
    </row>
    <row r="24" customFormat="false" ht="12.8" hidden="false" customHeight="false" outlineLevel="0" collapsed="false"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68"/>
      <c r="S24" s="68"/>
      <c r="X24" s="79"/>
      <c r="Y24" s="79"/>
      <c r="Z24" s="2"/>
      <c r="AA24" s="2"/>
    </row>
    <row r="25" customFormat="false" ht="12.8" hidden="false" customHeight="false" outlineLevel="0" collapsed="false">
      <c r="C25" s="72" t="s">
        <v>124</v>
      </c>
      <c r="D25" s="72" t="s">
        <v>125</v>
      </c>
      <c r="E25" s="72"/>
      <c r="G25" s="72" t="s">
        <v>126</v>
      </c>
      <c r="H25" s="72"/>
      <c r="I25" s="72" t="s">
        <v>127</v>
      </c>
      <c r="J25" s="72"/>
      <c r="K25" s="72" t="s">
        <v>128</v>
      </c>
      <c r="L25" s="72"/>
      <c r="M25" s="72"/>
      <c r="N25" s="72"/>
      <c r="O25" s="73"/>
      <c r="P25" s="73"/>
      <c r="Q25" s="73"/>
      <c r="R25" s="68"/>
      <c r="S25" s="68"/>
      <c r="X25" s="79"/>
      <c r="Y25" s="79"/>
      <c r="Z25" s="2"/>
      <c r="AA25" s="2"/>
    </row>
    <row r="26" customFormat="false" ht="12.8" hidden="false" customHeight="false" outlineLevel="0" collapsed="false">
      <c r="D26" s="72" t="s">
        <v>105</v>
      </c>
      <c r="E26" s="72" t="s">
        <v>106</v>
      </c>
      <c r="G26" s="72" t="s">
        <v>105</v>
      </c>
      <c r="H26" s="72" t="s">
        <v>106</v>
      </c>
      <c r="I26" s="72" t="s">
        <v>105</v>
      </c>
      <c r="J26" s="72" t="s">
        <v>106</v>
      </c>
      <c r="K26" s="72" t="s">
        <v>105</v>
      </c>
      <c r="L26" s="72" t="s">
        <v>106</v>
      </c>
      <c r="M26" s="72"/>
      <c r="N26" s="72"/>
      <c r="S26" s="68"/>
    </row>
    <row r="27" customFormat="false" ht="12.8" hidden="false" customHeight="false" outlineLevel="0" collapsed="false">
      <c r="B27" s="0" t="s">
        <v>129</v>
      </c>
      <c r="C27" s="0" t="s">
        <v>130</v>
      </c>
      <c r="D27" s="73" t="n">
        <v>30.36</v>
      </c>
      <c r="E27" s="73" t="n">
        <v>2.51</v>
      </c>
      <c r="F27" s="73"/>
      <c r="G27" s="73" t="n">
        <v>13.12</v>
      </c>
      <c r="H27" s="73" t="n">
        <v>1.63</v>
      </c>
      <c r="I27" s="73" t="n">
        <v>3.03</v>
      </c>
      <c r="J27" s="73" t="n">
        <v>0.36742</v>
      </c>
      <c r="K27" s="73" t="n">
        <v>14.21</v>
      </c>
      <c r="L27" s="73" t="n">
        <v>0.5125</v>
      </c>
      <c r="M27" s="73"/>
      <c r="N27" s="73"/>
      <c r="O27" s="73"/>
      <c r="P27" s="73" t="n">
        <f aca="false">G27+I27+K27</f>
        <v>30.36</v>
      </c>
      <c r="Q27" s="73" t="n">
        <f aca="false">H27+J27+L27</f>
        <v>2.50992</v>
      </c>
      <c r="R27" s="2" t="n">
        <v>0.816961973560007</v>
      </c>
      <c r="S27" s="68" t="n">
        <f aca="false">(G27/46+H27/17)/(G27/46+H27/17+I27/46+J27/17)</f>
        <v>0.813303840948967</v>
      </c>
    </row>
    <row r="28" customFormat="false" ht="12.8" hidden="false" customHeight="false" outlineLevel="0" collapsed="false">
      <c r="B28" s="2" t="n">
        <f aca="false">R30/R27-1</f>
        <v>-0.0101639123414133</v>
      </c>
      <c r="C28" s="0" t="s">
        <v>131</v>
      </c>
      <c r="D28" s="73" t="n">
        <v>34.04</v>
      </c>
      <c r="E28" s="73" t="n">
        <v>2.49</v>
      </c>
      <c r="F28" s="73"/>
      <c r="G28" s="73" t="n">
        <v>13.5</v>
      </c>
      <c r="H28" s="73" t="n">
        <v>1.67</v>
      </c>
      <c r="I28" s="73" t="n">
        <v>3.12</v>
      </c>
      <c r="J28" s="73" t="n">
        <v>0.37539</v>
      </c>
      <c r="K28" s="73" t="n">
        <v>17.41</v>
      </c>
      <c r="L28" s="73" t="n">
        <v>0.44841</v>
      </c>
      <c r="M28" s="73"/>
      <c r="N28" s="73"/>
      <c r="O28" s="73"/>
      <c r="P28" s="73" t="n">
        <f aca="false">G28+I28+K28</f>
        <v>34.03</v>
      </c>
      <c r="Q28" s="73" t="n">
        <f aca="false">H28+J28+L28</f>
        <v>2.4938</v>
      </c>
      <c r="R28" s="2" t="n">
        <v>0.816961973560007</v>
      </c>
      <c r="S28" s="68" t="n">
        <f aca="false">(G28/46+H28/17)/(G28/46+H28/17+I28/46+J28/17)</f>
        <v>0.813322559128247</v>
      </c>
    </row>
    <row r="29" customFormat="false" ht="12.8" hidden="false" customHeight="false" outlineLevel="0" collapsed="false">
      <c r="C29" s="0" t="s">
        <v>132</v>
      </c>
      <c r="D29" s="73" t="n">
        <v>32.53</v>
      </c>
      <c r="E29" s="73" t="n">
        <v>2.46</v>
      </c>
      <c r="F29" s="73"/>
      <c r="G29" s="73" t="n">
        <v>12.14</v>
      </c>
      <c r="H29" s="73" t="n">
        <v>1.63</v>
      </c>
      <c r="I29" s="73" t="n">
        <v>2.82</v>
      </c>
      <c r="J29" s="73" t="n">
        <v>0.36816</v>
      </c>
      <c r="K29" s="73" t="n">
        <v>17.57</v>
      </c>
      <c r="L29" s="73" t="n">
        <v>0.45322</v>
      </c>
      <c r="M29" s="73"/>
      <c r="N29" s="73"/>
      <c r="O29" s="73"/>
      <c r="P29" s="73" t="n">
        <f aca="false">G29+I29+K29</f>
        <v>32.53</v>
      </c>
      <c r="Q29" s="73" t="n">
        <f aca="false">H29+J29+L29</f>
        <v>2.45138</v>
      </c>
      <c r="R29" s="2" t="n">
        <v>0.816961973560007</v>
      </c>
      <c r="S29" s="68" t="n">
        <f aca="false">(G29/46+H29/17)/(G29/46+H29/17+I29/46+J29/17)</f>
        <v>0.812626416897454</v>
      </c>
      <c r="U29" s="0" t="n">
        <f aca="false">D5-D8</f>
        <v>26.01</v>
      </c>
      <c r="V29" s="0" t="n">
        <f aca="false">E5-E8</f>
        <v>0.549999999999997</v>
      </c>
    </row>
    <row r="30" customFormat="false" ht="12.8" hidden="false" customHeight="false" outlineLevel="0" collapsed="false">
      <c r="C30" s="0" t="s">
        <v>133</v>
      </c>
      <c r="D30" s="73" t="n">
        <v>28.35</v>
      </c>
      <c r="E30" s="73" t="n">
        <v>2.48</v>
      </c>
      <c r="F30" s="73"/>
      <c r="G30" s="73" t="n">
        <v>11.02</v>
      </c>
      <c r="H30" s="73" t="n">
        <v>1.59</v>
      </c>
      <c r="I30" s="73" t="n">
        <v>3.11</v>
      </c>
      <c r="J30" s="73" t="n">
        <v>0.37731</v>
      </c>
      <c r="K30" s="73" t="n">
        <v>14.22</v>
      </c>
      <c r="L30" s="73" t="n">
        <v>0.51313</v>
      </c>
      <c r="M30" s="73"/>
      <c r="N30" s="73"/>
      <c r="O30" s="73"/>
      <c r="P30" s="73" t="n">
        <f aca="false">G30+I30+K30</f>
        <v>28.35</v>
      </c>
      <c r="Q30" s="73" t="n">
        <f aca="false">H30+J30+L30</f>
        <v>2.48044</v>
      </c>
      <c r="R30" s="2" t="n">
        <v>0.808658443674475</v>
      </c>
      <c r="S30" s="68" t="n">
        <f aca="false">(G30/46+H30/17)/(G30/46+H30/17+I30/46+J30/17)</f>
        <v>0.787647624208867</v>
      </c>
    </row>
    <row r="31" customFormat="false" ht="12.8" hidden="false" customHeight="false" outlineLevel="0" collapsed="false">
      <c r="C31" s="0" t="s">
        <v>134</v>
      </c>
      <c r="D31" s="73" t="n">
        <v>31.9</v>
      </c>
      <c r="E31" s="73" t="n">
        <v>2.45</v>
      </c>
      <c r="F31" s="73"/>
      <c r="G31" s="73" t="n">
        <v>11.27</v>
      </c>
      <c r="H31" s="73" t="n">
        <v>1.62</v>
      </c>
      <c r="I31" s="73" t="n">
        <v>3.2</v>
      </c>
      <c r="J31" s="73" t="n">
        <v>0.3855</v>
      </c>
      <c r="K31" s="73" t="n">
        <v>17.43</v>
      </c>
      <c r="L31" s="73" t="n">
        <v>0.44896</v>
      </c>
      <c r="M31" s="73"/>
      <c r="N31" s="73"/>
      <c r="O31" s="73"/>
      <c r="P31" s="73" t="n">
        <f aca="false">G31+I31+K31</f>
        <v>31.9</v>
      </c>
      <c r="Q31" s="73" t="n">
        <f aca="false">H31+J31+L31</f>
        <v>2.45446</v>
      </c>
      <c r="R31" s="2" t="n">
        <v>0.808658443674475</v>
      </c>
      <c r="S31" s="68" t="n">
        <f aca="false">(G31/46+H31/17)/(G31/46+H31/17+I31/46+J31/17)</f>
        <v>0.786742075963139</v>
      </c>
    </row>
    <row r="32" customFormat="false" ht="12.8" hidden="false" customHeight="false" outlineLevel="0" collapsed="false">
      <c r="C32" s="0" t="s">
        <v>135</v>
      </c>
      <c r="D32" s="73" t="n">
        <v>30.3</v>
      </c>
      <c r="E32" s="73" t="n">
        <v>2.42</v>
      </c>
      <c r="F32" s="73"/>
      <c r="G32" s="73" t="n">
        <v>9.83</v>
      </c>
      <c r="H32" s="73" t="n">
        <v>1.59</v>
      </c>
      <c r="I32" s="73" t="n">
        <v>2.89</v>
      </c>
      <c r="J32" s="73" t="n">
        <v>0.37813</v>
      </c>
      <c r="K32" s="73" t="n">
        <v>17.58</v>
      </c>
      <c r="L32" s="73" t="n">
        <v>0.45378</v>
      </c>
      <c r="M32" s="73"/>
      <c r="N32" s="73"/>
      <c r="O32" s="73"/>
      <c r="P32" s="73" t="n">
        <f aca="false">G32+I32+K32</f>
        <v>30.3</v>
      </c>
      <c r="Q32" s="73" t="n">
        <f aca="false">H32+J32+L32</f>
        <v>2.42191</v>
      </c>
      <c r="R32" s="2" t="n">
        <v>0.808658443674475</v>
      </c>
      <c r="S32" s="68" t="n">
        <f aca="false">(G32/46+H32/17)/(G32/46+H32/17+I32/46+J32/17)</f>
        <v>0.783149861666886</v>
      </c>
    </row>
    <row r="33" customFormat="false" ht="12.8" hidden="false" customHeight="false" outlineLevel="0" collapsed="false">
      <c r="C33" s="0" t="s">
        <v>136</v>
      </c>
      <c r="D33" s="0" t="n">
        <f aca="false">D27-D30</f>
        <v>2.01</v>
      </c>
      <c r="E33" s="0" t="n">
        <f aca="false">E27-E30</f>
        <v>0.0299999999999998</v>
      </c>
      <c r="G33" s="73" t="n">
        <f aca="false">G27-G30</f>
        <v>2.1</v>
      </c>
      <c r="H33" s="73" t="n">
        <f aca="false">H27-H30</f>
        <v>0.0399999999999998</v>
      </c>
      <c r="I33" s="73" t="n">
        <f aca="false">I27-I30</f>
        <v>-0.0800000000000001</v>
      </c>
      <c r="J33" s="73" t="n">
        <f aca="false">J27-J30</f>
        <v>-0.00988999999999995</v>
      </c>
      <c r="K33" s="73" t="n">
        <f aca="false">K27-K30</f>
        <v>-0.00999999999999979</v>
      </c>
      <c r="L33" s="73" t="n">
        <f aca="false">L27-L30</f>
        <v>-0.000630000000000019</v>
      </c>
      <c r="M33" s="73"/>
      <c r="N33" s="73"/>
      <c r="P33" s="73" t="n">
        <f aca="false">G33+I33+K33</f>
        <v>2.01</v>
      </c>
      <c r="Q33" s="73" t="n">
        <f aca="false">H33+J33+L33</f>
        <v>0.0294799999999998</v>
      </c>
    </row>
    <row r="34" customFormat="false" ht="12.8" hidden="false" customHeight="false" outlineLevel="0" collapsed="false">
      <c r="C34" s="0" t="s">
        <v>137</v>
      </c>
      <c r="D34" s="0" t="n">
        <f aca="false">D28-D31</f>
        <v>2.14</v>
      </c>
      <c r="E34" s="0" t="n">
        <f aca="false">E28-E31</f>
        <v>0.04</v>
      </c>
      <c r="G34" s="73" t="n">
        <f aca="false">G28-G31</f>
        <v>2.23</v>
      </c>
      <c r="H34" s="73" t="n">
        <f aca="false">H28-H31</f>
        <v>0.0499999999999998</v>
      </c>
      <c r="I34" s="73" t="n">
        <f aca="false">I28-I31</f>
        <v>-0.0800000000000001</v>
      </c>
      <c r="J34" s="73" t="n">
        <f aca="false">J28-J31</f>
        <v>-0.01011</v>
      </c>
      <c r="K34" s="73" t="n">
        <f aca="false">K28-K31</f>
        <v>-0.0199999999999996</v>
      </c>
      <c r="L34" s="73" t="n">
        <f aca="false">L28-L31</f>
        <v>-0.00055000000000005</v>
      </c>
      <c r="M34" s="73"/>
      <c r="N34" s="73"/>
      <c r="P34" s="73" t="n">
        <f aca="false">G34+I34+K34</f>
        <v>2.13</v>
      </c>
      <c r="Q34" s="73" t="n">
        <f aca="false">H34+J34+L34</f>
        <v>0.0393399999999998</v>
      </c>
    </row>
    <row r="35" customFormat="false" ht="12.8" hidden="false" customHeight="false" outlineLevel="0" collapsed="false">
      <c r="C35" s="0" t="s">
        <v>138</v>
      </c>
      <c r="D35" s="0" t="n">
        <f aca="false">D29-D32</f>
        <v>2.23</v>
      </c>
      <c r="E35" s="0" t="n">
        <f aca="false">E29-E32</f>
        <v>0.04</v>
      </c>
      <c r="G35" s="73" t="n">
        <f aca="false">G29-G32</f>
        <v>2.31</v>
      </c>
      <c r="H35" s="73" t="n">
        <f aca="false">H29-H32</f>
        <v>0.0399999999999998</v>
      </c>
      <c r="I35" s="73" t="n">
        <f aca="false">I29-I32</f>
        <v>-0.0700000000000003</v>
      </c>
      <c r="J35" s="73" t="n">
        <f aca="false">J29-J32</f>
        <v>-0.00997000000000003</v>
      </c>
      <c r="K35" s="73" t="n">
        <f aca="false">K29-K32</f>
        <v>-0.00999999999999801</v>
      </c>
      <c r="L35" s="73" t="n">
        <f aca="false">L29-L32</f>
        <v>-0.000560000000000005</v>
      </c>
      <c r="M35" s="73"/>
      <c r="N35" s="73"/>
      <c r="P35" s="73" t="n">
        <f aca="false">G35+I35+K35</f>
        <v>2.23</v>
      </c>
      <c r="Q35" s="73" t="n">
        <f aca="false">H35+J35+L35</f>
        <v>0.0294699999999998</v>
      </c>
    </row>
    <row r="36" customFormat="false" ht="12.8" hidden="false" customHeight="false" outlineLevel="0" collapsed="false">
      <c r="S36" s="0" t="n">
        <f aca="false">COMBIN(50,5)</f>
        <v>2118760</v>
      </c>
      <c r="T36" s="0" t="n">
        <f aca="false">COMBIN(12,2)</f>
        <v>66</v>
      </c>
    </row>
    <row r="37" customFormat="false" ht="12.8" hidden="false" customHeight="false" outlineLevel="0" collapsed="false">
      <c r="G37" s="72"/>
      <c r="H37" s="72"/>
      <c r="T37" s="101" t="n">
        <f aca="false">T36*S36</f>
        <v>139838160</v>
      </c>
    </row>
    <row r="38" customFormat="false" ht="12.8" hidden="false" customHeight="false" outlineLevel="0" collapsed="false">
      <c r="C38" s="72" t="s">
        <v>139</v>
      </c>
      <c r="D38" s="72" t="s">
        <v>125</v>
      </c>
      <c r="E38" s="72"/>
      <c r="G38" s="72" t="s">
        <v>126</v>
      </c>
      <c r="H38" s="72"/>
      <c r="I38" s="72" t="s">
        <v>127</v>
      </c>
      <c r="J38" s="72"/>
      <c r="K38" s="72" t="s">
        <v>128</v>
      </c>
      <c r="L38" s="72"/>
      <c r="M38" s="72"/>
      <c r="N38" s="72"/>
    </row>
    <row r="39" customFormat="false" ht="12.8" hidden="false" customHeight="false" outlineLevel="0" collapsed="false">
      <c r="D39" s="72" t="s">
        <v>105</v>
      </c>
      <c r="E39" s="72" t="s">
        <v>106</v>
      </c>
      <c r="G39" s="72" t="s">
        <v>105</v>
      </c>
      <c r="H39" s="72" t="s">
        <v>106</v>
      </c>
      <c r="I39" s="72" t="s">
        <v>105</v>
      </c>
      <c r="J39" s="72" t="s">
        <v>106</v>
      </c>
      <c r="K39" s="72" t="s">
        <v>105</v>
      </c>
      <c r="L39" s="72" t="s">
        <v>106</v>
      </c>
      <c r="M39" s="72"/>
      <c r="N39" s="72"/>
    </row>
    <row r="40" customFormat="false" ht="12.8" hidden="false" customHeight="false" outlineLevel="0" collapsed="false">
      <c r="C40" s="0" t="s">
        <v>130</v>
      </c>
      <c r="D40" s="73" t="n">
        <v>14.73</v>
      </c>
      <c r="E40" s="73" t="n">
        <v>2.6</v>
      </c>
      <c r="F40" s="73"/>
      <c r="G40" s="73" t="n">
        <v>4.89</v>
      </c>
      <c r="H40" s="73" t="n">
        <v>1.61</v>
      </c>
      <c r="I40" s="73" t="n">
        <v>1.12</v>
      </c>
      <c r="J40" s="73" t="n">
        <v>0.36237</v>
      </c>
      <c r="K40" s="73" t="n">
        <v>8.71</v>
      </c>
      <c r="L40" s="73" t="n">
        <v>0.62745</v>
      </c>
      <c r="M40" s="73"/>
      <c r="N40" s="73"/>
      <c r="P40" s="73" t="n">
        <f aca="false">G40+I40+K40</f>
        <v>14.72</v>
      </c>
      <c r="Q40" s="73" t="n">
        <f aca="false">H40+J40+L40</f>
        <v>2.59982</v>
      </c>
    </row>
    <row r="41" customFormat="false" ht="12.8" hidden="false" customHeight="false" outlineLevel="0" collapsed="false">
      <c r="C41" s="0" t="s">
        <v>131</v>
      </c>
      <c r="D41" s="73" t="n">
        <v>17.74</v>
      </c>
      <c r="E41" s="73" t="n">
        <v>3.01</v>
      </c>
      <c r="F41" s="73"/>
      <c r="G41" s="73" t="n">
        <v>4.98</v>
      </c>
      <c r="H41" s="73" t="n">
        <v>2</v>
      </c>
      <c r="I41" s="73" t="n">
        <v>1.14</v>
      </c>
      <c r="J41" s="73" t="n">
        <v>0.45214</v>
      </c>
      <c r="K41" s="73" t="n">
        <v>11.62</v>
      </c>
      <c r="L41" s="73" t="n">
        <v>0.55343</v>
      </c>
      <c r="M41" s="73"/>
      <c r="N41" s="73"/>
      <c r="P41" s="73" t="n">
        <f aca="false">G41+I41+K41</f>
        <v>17.74</v>
      </c>
      <c r="Q41" s="73" t="n">
        <f aca="false">H41+J41+L41</f>
        <v>3.00557</v>
      </c>
    </row>
    <row r="42" customFormat="false" ht="12.8" hidden="false" customHeight="false" outlineLevel="0" collapsed="false">
      <c r="C42" s="0" t="s">
        <v>132</v>
      </c>
      <c r="D42" s="73" t="n">
        <v>18.85</v>
      </c>
      <c r="E42" s="73" t="n">
        <v>2.87</v>
      </c>
      <c r="F42" s="73"/>
      <c r="G42" s="73" t="n">
        <v>5.95</v>
      </c>
      <c r="H42" s="73" t="n">
        <v>1.92</v>
      </c>
      <c r="I42" s="73" t="n">
        <v>1.37</v>
      </c>
      <c r="J42" s="73" t="n">
        <v>0.43251</v>
      </c>
      <c r="K42" s="73" t="n">
        <v>11.53</v>
      </c>
      <c r="L42" s="73" t="n">
        <v>0.51804</v>
      </c>
      <c r="M42" s="73"/>
      <c r="N42" s="73"/>
      <c r="P42" s="73" t="n">
        <f aca="false">G42+I42+K42</f>
        <v>18.85</v>
      </c>
      <c r="Q42" s="73" t="n">
        <f aca="false">H42+J42+L42</f>
        <v>2.87055</v>
      </c>
    </row>
    <row r="43" customFormat="false" ht="12.8" hidden="false" customHeight="false" outlineLevel="0" collapsed="false">
      <c r="C43" s="0" t="s">
        <v>133</v>
      </c>
      <c r="D43" s="73" t="n">
        <v>14.09</v>
      </c>
      <c r="E43" s="73" t="n">
        <v>2.57</v>
      </c>
      <c r="F43" s="73"/>
      <c r="G43" s="73" t="n">
        <v>4.22</v>
      </c>
      <c r="H43" s="73" t="n">
        <v>1.57</v>
      </c>
      <c r="I43" s="73" t="n">
        <v>1.15</v>
      </c>
      <c r="J43" s="73" t="n">
        <v>0.37205</v>
      </c>
      <c r="K43" s="73" t="n">
        <v>8.72</v>
      </c>
      <c r="L43" s="73" t="n">
        <v>0.62821</v>
      </c>
      <c r="M43" s="73"/>
      <c r="N43" s="73"/>
      <c r="P43" s="73" t="n">
        <f aca="false">G43+I43+K43</f>
        <v>14.09</v>
      </c>
      <c r="Q43" s="73" t="n">
        <f aca="false">H43+J43+L43</f>
        <v>2.57026</v>
      </c>
    </row>
    <row r="44" customFormat="false" ht="12.8" hidden="false" customHeight="false" outlineLevel="0" collapsed="false">
      <c r="C44" s="0" t="s">
        <v>134</v>
      </c>
      <c r="D44" s="73" t="n">
        <v>17.1</v>
      </c>
      <c r="E44" s="73" t="n">
        <v>2.94</v>
      </c>
      <c r="F44" s="73"/>
      <c r="G44" s="73" t="n">
        <v>4.3</v>
      </c>
      <c r="H44" s="73" t="n">
        <v>1.92</v>
      </c>
      <c r="I44" s="73" t="n">
        <v>1.17</v>
      </c>
      <c r="J44" s="73" t="n">
        <v>0.46404</v>
      </c>
      <c r="K44" s="73" t="n">
        <v>11.63</v>
      </c>
      <c r="L44" s="73" t="n">
        <v>0.55411</v>
      </c>
      <c r="M44" s="73"/>
      <c r="N44" s="73"/>
      <c r="P44" s="73" t="n">
        <f aca="false">G44+I44+K44</f>
        <v>17.1</v>
      </c>
      <c r="Q44" s="73" t="n">
        <f aca="false">H44+J44+L44</f>
        <v>2.93815</v>
      </c>
    </row>
    <row r="45" customFormat="false" ht="12.8" hidden="false" customHeight="false" outlineLevel="0" collapsed="false">
      <c r="C45" s="0" t="s">
        <v>135</v>
      </c>
      <c r="D45" s="73" t="n">
        <v>17.99</v>
      </c>
      <c r="E45" s="73" t="n">
        <v>2.82</v>
      </c>
      <c r="F45" s="73"/>
      <c r="G45" s="73" t="n">
        <v>5.05</v>
      </c>
      <c r="H45" s="73" t="n">
        <v>1.85</v>
      </c>
      <c r="I45" s="73" t="n">
        <v>1.4</v>
      </c>
      <c r="J45" s="73" t="n">
        <v>0.44394</v>
      </c>
      <c r="K45" s="73" t="n">
        <v>11.54</v>
      </c>
      <c r="L45" s="73" t="n">
        <v>0.51867</v>
      </c>
      <c r="M45" s="73"/>
      <c r="N45" s="73"/>
      <c r="P45" s="73" t="n">
        <f aca="false">G45+I45+K45</f>
        <v>17.99</v>
      </c>
      <c r="Q45" s="73" t="n">
        <f aca="false">H45+J45+L45</f>
        <v>2.81261</v>
      </c>
    </row>
    <row r="46" customFormat="false" ht="12.8" hidden="false" customHeight="false" outlineLevel="0" collapsed="false">
      <c r="C46" s="0" t="s">
        <v>136</v>
      </c>
      <c r="D46" s="0" t="n">
        <f aca="false">D40-D43</f>
        <v>0.640000000000001</v>
      </c>
      <c r="E46" s="0" t="n">
        <f aca="false">E40-E43</f>
        <v>0.0300000000000002</v>
      </c>
      <c r="G46" s="73" t="n">
        <f aca="false">G40-G43</f>
        <v>0.67</v>
      </c>
      <c r="H46" s="73" t="n">
        <f aca="false">H40-H43</f>
        <v>0.04</v>
      </c>
      <c r="I46" s="73" t="n">
        <f aca="false">I40-I43</f>
        <v>-0.0299999999999998</v>
      </c>
      <c r="J46" s="73" t="n">
        <f aca="false">J40-J43</f>
        <v>-0.00967999999999997</v>
      </c>
      <c r="K46" s="73" t="n">
        <f aca="false">K40-K43</f>
        <v>-0.00999999999999979</v>
      </c>
      <c r="L46" s="73" t="n">
        <f aca="false">L40-L43</f>
        <v>-0.000760000000000094</v>
      </c>
      <c r="M46" s="73"/>
      <c r="N46" s="73"/>
      <c r="P46" s="73" t="n">
        <f aca="false">G46+I46+K46</f>
        <v>0.63</v>
      </c>
      <c r="Q46" s="73" t="n">
        <f aca="false">H46+J46+L46</f>
        <v>0.02956</v>
      </c>
    </row>
    <row r="47" customFormat="false" ht="12.8" hidden="false" customHeight="false" outlineLevel="0" collapsed="false">
      <c r="C47" s="0" t="s">
        <v>137</v>
      </c>
      <c r="D47" s="0" t="n">
        <f aca="false">D41-D44</f>
        <v>0.639999999999997</v>
      </c>
      <c r="E47" s="0" t="n">
        <f aca="false">E41-E44</f>
        <v>0.0699999999999998</v>
      </c>
      <c r="G47" s="73" t="n">
        <f aca="false">G41-G44</f>
        <v>0.680000000000001</v>
      </c>
      <c r="H47" s="73" t="n">
        <f aca="false">H41-H44</f>
        <v>0.0800000000000001</v>
      </c>
      <c r="I47" s="73" t="n">
        <f aca="false">I41-I44</f>
        <v>-0.03</v>
      </c>
      <c r="J47" s="73" t="n">
        <f aca="false">J41-J44</f>
        <v>-0.0119</v>
      </c>
      <c r="K47" s="73" t="n">
        <f aca="false">K41-K44</f>
        <v>-0.0100000000000016</v>
      </c>
      <c r="L47" s="73" t="n">
        <f aca="false">L41-L44</f>
        <v>-0.000680000000000014</v>
      </c>
      <c r="M47" s="73"/>
      <c r="N47" s="73"/>
      <c r="P47" s="73" t="n">
        <f aca="false">G47+I47+K47</f>
        <v>0.639999999999999</v>
      </c>
      <c r="Q47" s="73" t="n">
        <f aca="false">H47+J47+L47</f>
        <v>0.06742</v>
      </c>
    </row>
    <row r="48" customFormat="false" ht="12.8" hidden="false" customHeight="false" outlineLevel="0" collapsed="false">
      <c r="C48" s="0" t="s">
        <v>138</v>
      </c>
      <c r="D48" s="0" t="n">
        <f aca="false">D42-D45</f>
        <v>0.860000000000003</v>
      </c>
      <c r="E48" s="0" t="n">
        <f aca="false">E42-E45</f>
        <v>0.0500000000000003</v>
      </c>
      <c r="G48" s="73" t="n">
        <f aca="false">G42-G45</f>
        <v>0.9</v>
      </c>
      <c r="H48" s="73" t="n">
        <f aca="false">H42-H45</f>
        <v>0.0699999999999998</v>
      </c>
      <c r="I48" s="73" t="n">
        <f aca="false">I42-I45</f>
        <v>-0.0299999999999998</v>
      </c>
      <c r="J48" s="73" t="n">
        <f aca="false">J42-J45</f>
        <v>-0.01143</v>
      </c>
      <c r="K48" s="73" t="n">
        <f aca="false">K42-K45</f>
        <v>-0.00999999999999979</v>
      </c>
      <c r="L48" s="73" t="n">
        <f aca="false">L42-L45</f>
        <v>-0.000630000000000019</v>
      </c>
      <c r="M48" s="73"/>
      <c r="N48" s="73"/>
      <c r="P48" s="73" t="n">
        <f aca="false">G48+I48+K48</f>
        <v>0.860000000000001</v>
      </c>
      <c r="Q48" s="73" t="n">
        <f aca="false">H48+J48+L48</f>
        <v>0.0579399999999998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10526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2021-07-08T15:08:15Z</dcterms:created>
  <dc:creator/>
  <dc:description/>
  <dc:language>en-US</dc:language>
  <cp:lastModifiedBy>Sieward Nijhuis</cp:lastModifiedBy>
  <dcterms:modified xsi:type="dcterms:W3CDTF">2022-01-26T15:08:34Z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